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Вводные" sheetId="1" r:id="rId1"/>
    <sheet name="Вложения" sheetId="2" r:id="rId2"/>
    <sheet name="Месяцы" sheetId="3" r:id="rId3"/>
    <sheet name="Прибыль" sheetId="4" r:id="rId4"/>
    <sheet name="Итоги" sheetId="5" r:id="rId5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name val="Calibri"/>
    </font>
    <font>
      <b/>
      <sz val="11"/>
      <name val="Calibri"/>
    </font>
    <font>
      <i/>
      <sz val="10"/>
      <color rgb="FF7A736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EFE9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0" xfId="0" applyFont="1" applyFill="1"/>
    <xf numFmtId="3" fontId="0" fillId="0" borderId="0" xfId="0" applyNumberFormat="1"/>
    <xf numFmtId="4" fontId="0" fillId="0" borderId="0" xfId="0" applyNumberFormat="1"/>
    <xf numFmtId="10" fontId="0" fillId="2" borderId="0" xfId="0" applyNumberFormat="1" applyFill="1"/>
    <xf numFmtId="3" fontId="0" fillId="2" borderId="0" xfId="0" applyNumberFormat="1" applyFill="1"/>
    <xf numFmtId="3" fontId="1" fillId="0" borderId="0" xfId="0" applyNumberFormat="1" applyFont="1"/>
    <xf numFmtId="0" fontId="2" fillId="0" borderId="0" xfId="0" applyFont="1" applyAlignment="1">
      <alignment wrapText="1" vertical="top"/>
    </xf>
    <xf numFmtId="16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4" customWidth="1"/>
    <col min="2" max="2" width="14" customWidth="1"/>
    <col min="3" max="3" width="12" customWidth="1"/>
    <col min="4" max="4" width="70" customWidth="1"/>
  </cols>
  <sheetData>
    <row r="1">
      <c r="A1" s="1" t="inlineStr">
        <is>
          <t xml:space="preserve">Вводная</t>
        </is>
      </c>
      <c r="B1" s="1" t="inlineStr">
        <is>
          <t xml:space="preserve">Значение</t>
        </is>
      </c>
      <c r="C1" s="1" t="inlineStr">
        <is>
          <t xml:space="preserve">Ед.</t>
        </is>
      </c>
      <c r="D1" s="1" t="inlineStr">
        <is>
          <t xml:space="preserve">Источник или пометка</t>
        </is>
      </c>
    </row>
    <row r="2">
      <c r="A2" t="inlineStr">
        <is>
          <t xml:space="preserve">Цена чашки</t>
        </is>
      </c>
      <c r="B2" s="5">
        <v>190</v>
      </c>
      <c r="C2" t="inlineStr">
        <is>
          <t xml:space="preserve">₽</t>
        </is>
      </c>
      <c r="D2" s="7" t="inlineStr">
        <is>
          <t xml:space="preserve">проверка 20261008102911-seo152, .report.unit.price</t>
        </is>
      </c>
    </row>
    <row r="3">
      <c r="A3" t="inlineStr">
        <is>
          <t xml:space="preserve">Сырьё, стакан, крышка, потери на чашку</t>
        </is>
      </c>
      <c r="B3" s="5">
        <v>48</v>
      </c>
      <c r="C3" t="inlineStr">
        <is>
          <t xml:space="preserve">₽</t>
        </is>
      </c>
      <c r="D3" s="7" t="inlineStr">
        <is>
          <t xml:space="preserve">business.ru, 06.09.2026</t>
        </is>
      </c>
    </row>
    <row r="4">
      <c r="A4" t="inlineStr">
        <is>
          <t xml:space="preserve">Эквайринг</t>
        </is>
      </c>
      <c r="B4" s="4">
        <v>0.02</v>
      </c>
      <c r="C4" t="inlineStr">
        <is>
          <t xml:space="preserve">доля</t>
        </is>
      </c>
      <c r="D4" s="7" t="inlineStr">
        <is>
          <t xml:space="preserve">banki.ru, 18.05.2026: 0,8–2,5 %</t>
        </is>
      </c>
    </row>
    <row r="5">
      <c r="A5" t="inlineStr">
        <is>
          <t xml:space="preserve">Чашек в день на полной загрузке</t>
        </is>
      </c>
      <c r="B5" s="5">
        <v>80</v>
      </c>
      <c r="C5" t="inlineStr">
        <is>
          <t xml:space="preserve">шт.</t>
        </is>
      </c>
      <c r="D5" s="7" t="inlineStr">
        <is>
          <t xml:space="preserve">допущение; ориентир 80–120 (biztotal.ru, 23.06.2026)</t>
        </is>
      </c>
    </row>
    <row r="6">
      <c r="A6" t="inlineStr">
        <is>
          <t xml:space="preserve">Рабочих дней в месяце</t>
        </is>
      </c>
      <c r="B6" s="5">
        <v>30</v>
      </c>
      <c r="C6" t="inlineStr">
        <is>
          <t xml:space="preserve">дн.</t>
        </is>
      </c>
      <c r="D6" s="7" t="inlineStr">
        <is>
          <t xml:space="preserve">станция работает каждый день</t>
        </is>
      </c>
    </row>
    <row r="7">
      <c r="A7" t="inlineStr">
        <is>
          <t xml:space="preserve">Аренда с коммунальными</t>
        </is>
      </c>
      <c r="B7" s="5">
        <v>45000</v>
      </c>
      <c r="C7" t="inlineStr">
        <is>
          <t xml:space="preserve">₽/мес</t>
        </is>
      </c>
      <c r="D7" s="7" t="inlineStr">
        <is>
          <t xml:space="preserve">допущение: 4 500 ₽ за м² для 10 м²; у станции Тайнинская 333–8 292 ₽ за м² (Яндекс Недвижимость, 29.09.2026), у станции Подольск 39 м² за 60 000 ₽ (afy.ru, 07.10.2026)</t>
        </is>
      </c>
    </row>
    <row r="8">
      <c r="A8" t="inlineStr">
        <is>
          <t xml:space="preserve">Часов работы в день</t>
        </is>
      </c>
      <c r="B8" s="5">
        <v>14</v>
      </c>
      <c r="C8" t="inlineStr">
        <is>
          <t xml:space="preserve">ч</t>
        </is>
      </c>
      <c r="D8" s="7" t="inlineStr">
        <is>
          <t xml:space="preserve">6:30–20:30</t>
        </is>
      </c>
    </row>
    <row r="9">
      <c r="A9" t="inlineStr">
        <is>
          <t xml:space="preserve">Ставка бариста</t>
        </is>
      </c>
      <c r="B9" s="5">
        <v>260</v>
      </c>
      <c r="C9" t="inlineStr">
        <is>
          <t xml:space="preserve">₽/ч</t>
        </is>
      </c>
      <c r="D9" s="7" t="inlineStr">
        <is>
          <t xml:space="preserve">checkroi.ru, 22.07.2026: Подмосковье</t>
        </is>
      </c>
    </row>
    <row r="10">
      <c r="A10" t="inlineStr">
        <is>
          <t xml:space="preserve">Взносы за работников до 1,5 МРОТ</t>
        </is>
      </c>
      <c r="B10" s="4">
        <v>0.3</v>
      </c>
      <c r="C10" t="inlineStr">
        <is>
          <t xml:space="preserve">доля</t>
        </is>
      </c>
      <c r="D10" s="7" t="inlineStr">
        <is>
          <t xml:space="preserve">ФНС: общепит в перечне 4125-р, 30 % до 1,5 МРОТ и 15 % сверх</t>
        </is>
      </c>
    </row>
    <row r="11">
      <c r="A11" t="inlineStr">
        <is>
          <t xml:space="preserve">Взнос на травматизм</t>
        </is>
      </c>
      <c r="B11" s="4">
        <v>0.002</v>
      </c>
      <c r="C11" t="inlineStr">
        <is>
          <t xml:space="preserve">доля</t>
        </is>
      </c>
      <c r="D11" s="7" t="inlineStr">
        <is>
          <t xml:space="preserve">от 0,2 % по классу риска; уточни в СФР</t>
        </is>
      </c>
    </row>
    <row r="12">
      <c r="A12" t="inlineStr">
        <is>
          <t xml:space="preserve">Сервис предзаказа</t>
        </is>
      </c>
      <c r="B12" s="5">
        <v>4990</v>
      </c>
      <c r="C12" t="inlineStr">
        <is>
          <t xml:space="preserve">₽/мес</t>
        </is>
      </c>
      <c r="D12" s="7" t="inlineStr">
        <is>
          <t xml:space="preserve">тариф Хапни из проверки</t>
        </is>
      </c>
    </row>
    <row r="13">
      <c r="A13" t="inlineStr">
        <is>
          <t xml:space="preserve">Онлайн-бухгалтерия</t>
        </is>
      </c>
      <c r="B13" s="5">
        <v>1700</v>
      </c>
      <c r="C13" t="inlineStr">
        <is>
          <t xml:space="preserve">₽/мес</t>
        </is>
      </c>
      <c r="D13" s="7" t="inlineStr">
        <is>
          <t xml:space="preserve">klerk.ru, 14.09.2026</t>
        </is>
      </c>
    </row>
    <row r="14">
      <c r="A14" t="inlineStr">
        <is>
          <t xml:space="preserve">Продвижение</t>
        </is>
      </c>
      <c r="B14" s="5">
        <v>10000</v>
      </c>
      <c r="C14" t="inlineStr">
        <is>
          <t xml:space="preserve">₽/мес</t>
        </is>
      </c>
      <c r="D14" s="7" t="inlineStr">
        <is>
          <t xml:space="preserve">допущение</t>
        </is>
      </c>
    </row>
    <row r="15">
      <c r="A15" t="inlineStr">
        <is>
          <t xml:space="preserve">Взносы ИП за себя за год</t>
        </is>
      </c>
      <c r="B15" s="5">
        <v>57390</v>
      </c>
      <c r="C15" t="inlineStr">
        <is>
          <t xml:space="preserve">₽/год</t>
        </is>
      </c>
      <c r="D15" s="7" t="inlineStr">
        <is>
          <t xml:space="preserve">ФНС, 2026</t>
        </is>
      </c>
    </row>
    <row r="16">
      <c r="A16" t="inlineStr">
        <is>
          <t xml:space="preserve">Налог УСН «доходы»</t>
        </is>
      </c>
      <c r="B16" s="4">
        <v>0.06</v>
      </c>
      <c r="C16" t="inlineStr">
        <is>
          <t xml:space="preserve">доля</t>
        </is>
      </c>
      <c r="D16" s="7" t="inlineStr">
        <is>
          <t xml:space="preserve">ФНС: 6 %</t>
        </is>
      </c>
    </row>
    <row r="17">
      <c r="A17" t="inlineStr">
        <is>
          <t xml:space="preserve">Уменьшение налога на взносы, не больше</t>
        </is>
      </c>
      <c r="B17" s="4">
        <v>0.5</v>
      </c>
      <c r="C17" t="inlineStr">
        <is>
          <t xml:space="preserve">доля</t>
        </is>
      </c>
      <c r="D17" s="7" t="inlineStr">
        <is>
          <t xml:space="preserve">ИП с работниками — не больше половины налога</t>
        </is>
      </c>
    </row>
    <row r="18">
      <c r="A18" t="inlineStr">
        <is>
          <t xml:space="preserve">Займ</t>
        </is>
      </c>
      <c r="B18" s="5">
        <v>500000</v>
      </c>
      <c r="C18" t="inlineStr">
        <is>
          <t xml:space="preserve">₽</t>
        </is>
      </c>
      <c r="D18" s="7" t="inlineStr">
        <is>
          <t xml:space="preserve">МО фонд микрофинансирования, «Начни своё дело»</t>
        </is>
      </c>
    </row>
    <row r="19">
      <c r="A19" t="inlineStr">
        <is>
          <t xml:space="preserve">Ставка займа</t>
        </is>
      </c>
      <c r="B19" s="4">
        <v>0.085</v>
      </c>
      <c r="C19" t="inlineStr">
        <is>
          <t xml:space="preserve">годовых</t>
        </is>
      </c>
      <c r="D19" s="7" t="inlineStr">
        <is>
          <t xml:space="preserve">осторожно: базовая ставка фонда для займа дольше 12 мес. — 8 % (mofmicro.ru) + 0,5 % в год за поручительство гарантийного фонда (mosreg-garant.ru)</t>
        </is>
      </c>
    </row>
    <row r="20">
      <c r="A20" t="inlineStr">
        <is>
          <t xml:space="preserve">Срок займа</t>
        </is>
      </c>
      <c r="B20" s="5">
        <v>36</v>
      </c>
      <c r="C20" t="inlineStr">
        <is>
          <t xml:space="preserve">мес.</t>
        </is>
      </c>
      <c r="D20" s="7" t="inlineStr">
        <is>
          <t xml:space="preserve"/>
        </is>
      </c>
    </row>
    <row r="21">
      <c r="A21" t="inlineStr">
        <is>
          <t xml:space="preserve">Свои деньги</t>
        </is>
      </c>
      <c r="B21" s="5">
        <v>450000</v>
      </c>
      <c r="C21" t="inlineStr">
        <is>
          <t xml:space="preserve">₽</t>
        </is>
      </c>
      <c r="D21" s="7" t="inlineStr">
        <is>
          <t xml:space="preserve">поле основателя: самый низкий остаток на листе «Итоги» должен быть выше недели постоянных расходов</t>
        </is>
      </c>
    </row>
    <row r="22">
      <c r="A22" t="inlineStr">
        <is>
          <t xml:space="preserve">Загрузка, месяц 1</t>
        </is>
      </c>
      <c r="B22" s="4">
        <v>0.3</v>
      </c>
      <c r="C22" t="inlineStr">
        <is>
          <t xml:space="preserve">доля</t>
        </is>
      </c>
      <c r="D22" s="7" t="inlineStr">
        <is>
          <t xml:space="preserve">допущение: первый месяц около 30 % (sbercrm.com)</t>
        </is>
      </c>
    </row>
    <row r="23">
      <c r="A23" t="inlineStr">
        <is>
          <t xml:space="preserve">Загрузка, месяц 2</t>
        </is>
      </c>
      <c r="B23" s="4">
        <v>0.5</v>
      </c>
      <c r="C23" t="inlineStr">
        <is>
          <t xml:space="preserve">доля</t>
        </is>
      </c>
      <c r="D23" s="7" t="inlineStr">
        <is>
          <t xml:space="preserve">допущение</t>
        </is>
      </c>
    </row>
    <row r="24">
      <c r="A24" t="inlineStr">
        <is>
          <t xml:space="preserve">Загрузка, месяц 3</t>
        </is>
      </c>
      <c r="B24" s="4">
        <v>0.7</v>
      </c>
      <c r="C24" t="inlineStr">
        <is>
          <t xml:space="preserve">доля</t>
        </is>
      </c>
      <c r="D24" s="7" t="inlineStr">
        <is>
          <t xml:space="preserve">допущение</t>
        </is>
      </c>
    </row>
    <row r="25">
      <c r="A25" t="inlineStr">
        <is>
          <t xml:space="preserve">Загрузка, месяц 4</t>
        </is>
      </c>
      <c r="B25" s="4">
        <v>0.85</v>
      </c>
      <c r="C25" t="inlineStr">
        <is>
          <t xml:space="preserve">доля</t>
        </is>
      </c>
      <c r="D25" s="7" t="inlineStr">
        <is>
          <t xml:space="preserve">допущение; с месяца 5 — 100 %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2" customWidth="1"/>
    <col min="2" max="2" width="14" customWidth="1"/>
    <col min="3" max="3" width="40" customWidth="1"/>
  </cols>
  <sheetData>
    <row r="1">
      <c r="A1" s="1" t="inlineStr">
        <is>
          <t xml:space="preserve">Статья</t>
        </is>
      </c>
      <c r="B1" s="1" t="inlineStr">
        <is>
          <t xml:space="preserve">₽</t>
        </is>
      </c>
      <c r="C1" s="1" t="inlineStr">
        <is>
          <t xml:space="preserve">Источник цены</t>
        </is>
      </c>
    </row>
    <row r="2">
      <c r="A2" t="inlineStr">
        <is>
          <t xml:space="preserve">Кофемашина на две группы</t>
        </is>
      </c>
      <c r="B2" s="5">
        <v>271235</v>
      </c>
      <c r="C2" s="7" t="inlineStr">
        <is>
          <t xml:space="preserve">chefpoint.ru, 03.10.2026</t>
        </is>
      </c>
    </row>
    <row r="3">
      <c r="A3" t="inlineStr">
        <is>
          <t xml:space="preserve">Кофемолка</t>
        </is>
      </c>
      <c r="B3" s="5">
        <v>67000</v>
      </c>
      <c r="C3" s="7" t="inlineStr">
        <is>
          <t xml:space="preserve">chefpoint.ru, 03.10.2026</t>
        </is>
      </c>
    </row>
    <row r="4">
      <c r="A4" t="inlineStr">
        <is>
          <t xml:space="preserve">Фильтр для воды</t>
        </is>
      </c>
      <c r="B4" s="5">
        <v>20000</v>
      </c>
      <c r="C4" s="7" t="inlineStr">
        <is>
          <t xml:space="preserve">topfranchise.ru, 05.10.2026</t>
        </is>
      </c>
    </row>
    <row r="5">
      <c r="A5" t="inlineStr">
        <is>
          <t xml:space="preserve">Барный холодильник</t>
        </is>
      </c>
      <c r="B5" s="5">
        <v>67148</v>
      </c>
      <c r="C5" s="7" t="inlineStr">
        <is>
          <t xml:space="preserve">klenmarket.ru, 08.10.2026</t>
        </is>
      </c>
    </row>
    <row r="6">
      <c r="A6" t="inlineStr">
        <is>
          <t xml:space="preserve">Онлайн-касса, фискальный накопитель на 36 месяцев, оператор фискальных данных на год</t>
        </is>
      </c>
      <c r="B6" s="5">
        <v>39000</v>
      </c>
      <c r="C6" s="7" t="inlineStr">
        <is>
          <t xml:space="preserve">vc.ru, 07.06.2026</t>
        </is>
      </c>
    </row>
    <row r="7">
      <c r="A7" t="inlineStr">
        <is>
          <t xml:space="preserve">Стойка, мойка, вывеска, подключение</t>
        </is>
      </c>
      <c r="B7" s="5">
        <v>100000</v>
      </c>
      <c r="C7" s="7" t="inlineStr">
        <is>
          <t xml:space="preserve">ogirk.ru, 24.06.2026</t>
        </is>
      </c>
    </row>
    <row r="8">
      <c r="A8" t="inlineStr">
        <is>
          <t xml:space="preserve">Питчеры, весы, темпер, посуда</t>
        </is>
      </c>
      <c r="B8" s="5">
        <v>30000</v>
      </c>
      <c r="C8" s="7" t="inlineStr">
        <is>
          <t xml:space="preserve">topfranchise.ru, 03.10.2026</t>
        </is>
      </c>
    </row>
    <row r="9">
      <c r="A9" t="inlineStr">
        <is>
          <t xml:space="preserve">Документы по ХАССП и программа производственного контроля</t>
        </is>
      </c>
      <c r="B9" s="5">
        <v>35000</v>
      </c>
      <c r="C9" s="7" t="inlineStr">
        <is>
          <t xml:space="preserve">haccpexpert.ru, 21.09.2026</t>
        </is>
      </c>
    </row>
    <row r="10">
      <c r="A10" t="inlineStr">
        <is>
          <t xml:space="preserve">Медицинские книжки трёх бариста</t>
        </is>
      </c>
      <c r="B10" s="5">
        <v>9000</v>
      </c>
      <c r="C10" s="7" t="inlineStr">
        <is>
          <t xml:space="preserve">medznahar.ru, 08.10.2026</t>
        </is>
      </c>
    </row>
    <row r="11">
      <c r="A11" t="inlineStr">
        <is>
          <t xml:space="preserve">Регистрация ИП онлайн</t>
        </is>
      </c>
      <c r="B11" s="5">
        <v>0</v>
      </c>
      <c r="C11" s="7" t="inlineStr">
        <is>
          <t xml:space="preserve">sravni.ru, 03.07.2026</t>
        </is>
      </c>
    </row>
    <row r="12">
      <c r="A12" s="1" t="inlineStr">
        <is>
          <t xml:space="preserve">Оборудование и запуск</t>
        </is>
      </c>
      <c r="B12" s="6">
        <f>SUM(B2:B11)</f>
        <v>638383</v>
      </c>
    </row>
    <row r="13">
      <c r="A13" t="inlineStr">
        <is>
          <t xml:space="preserve">Залог за аренду — один месяц</t>
        </is>
      </c>
      <c r="B13" s="2">
        <f>'Вводные'!$B$7</f>
        <v>45000</v>
      </c>
    </row>
    <row r="14">
      <c r="A14" t="inlineStr">
        <is>
          <t xml:space="preserve">Первый запас зерна, молока и стаканов — не расход, а запас на складе</t>
        </is>
      </c>
      <c r="B14" s="5">
        <v>30000</v>
      </c>
      <c r="C14" s="7" t="inlineStr">
        <is>
          <t xml:space="preserve">ogirk.ru, 24.06.2026</t>
        </is>
      </c>
    </row>
    <row r="15">
      <c r="A15" s="1" t="inlineStr">
        <is>
          <t xml:space="preserve">Вложения всего</t>
        </is>
      </c>
      <c r="B15" s="6">
        <f>B12+B13+B14</f>
        <v>713383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9" customWidth="1"/>
    <col min="4" max="4" width="13" customWidth="1"/>
    <col min="5" max="5" width="12" customWidth="1"/>
    <col min="6" max="6" width="11" customWidth="1"/>
    <col min="7" max="7" width="11" customWidth="1"/>
    <col min="8" max="8" width="12" customWidth="1"/>
    <col min="9" max="9" width="13" customWidth="1"/>
    <col min="10" max="10" width="12" customWidth="1"/>
    <col min="11" max="11" width="12" customWidth="1"/>
    <col min="12" max="12" width="11" customWidth="1"/>
    <col min="13" max="13" width="12" customWidth="1"/>
    <col min="14" max="14" width="11" customWidth="1"/>
    <col min="15" max="15" width="11" customWidth="1"/>
    <col min="16" max="16" width="12" customWidth="1"/>
    <col min="17" max="17" width="13" customWidth="1"/>
    <col min="18" max="18" width="14" customWidth="1"/>
  </cols>
  <sheetData>
    <row r="1">
      <c r="A1" s="1" t="inlineStr">
        <is>
          <t xml:space="preserve">Месяц</t>
        </is>
      </c>
      <c r="B1" s="1" t="inlineStr">
        <is>
          <t xml:space="preserve">Месяц года</t>
        </is>
      </c>
      <c r="C1" s="1" t="inlineStr">
        <is>
          <t xml:space="preserve">Загрузка</t>
        </is>
      </c>
      <c r="D1" s="1" t="inlineStr">
        <is>
          <t xml:space="preserve">Чашек в день</t>
        </is>
      </c>
      <c r="E1" s="1" t="inlineStr">
        <is>
          <t xml:space="preserve">Выручка</t>
        </is>
      </c>
      <c r="F1" s="1" t="inlineStr">
        <is>
          <t xml:space="preserve">Сырьё</t>
        </is>
      </c>
      <c r="G1" s="1" t="inlineStr">
        <is>
          <t xml:space="preserve">Эквайринг</t>
        </is>
      </c>
      <c r="H1" s="1" t="inlineStr">
        <is>
          <t xml:space="preserve">Аренда</t>
        </is>
      </c>
      <c r="I1" s="1" t="inlineStr">
        <is>
          <t xml:space="preserve">Зарплаты</t>
        </is>
      </c>
      <c r="J1" s="1" t="inlineStr">
        <is>
          <t xml:space="preserve">Сервисы</t>
        </is>
      </c>
      <c r="K1" s="1" t="inlineStr">
        <is>
          <t xml:space="preserve">Взносы за работников уплачены</t>
        </is>
      </c>
      <c r="L1" s="1" t="inlineStr">
        <is>
          <t xml:space="preserve">Взносы ИП уплачены</t>
        </is>
      </c>
      <c r="M1" s="1" t="inlineStr">
        <is>
          <t xml:space="preserve">Налог УСН уплачен</t>
        </is>
      </c>
      <c r="N1" s="1" t="inlineStr">
        <is>
          <t xml:space="preserve">Проценты</t>
        </is>
      </c>
      <c r="O1" s="1" t="inlineStr">
        <is>
          <t xml:space="preserve">Тело займа</t>
        </is>
      </c>
      <c r="P1" s="1" t="inlineStr">
        <is>
          <t xml:space="preserve">За месяц</t>
        </is>
      </c>
      <c r="Q1" s="1" t="inlineStr">
        <is>
          <t xml:space="preserve">Остаток на счёте</t>
        </is>
      </c>
      <c r="R1" s="1" t="inlineStr">
        <is>
          <t xml:space="preserve">Взносы за работников начислены</t>
        </is>
      </c>
    </row>
    <row r="2">
      <c r="A2">
        <v>0</v>
      </c>
      <c r="B2" t="inlineStr">
        <is>
          <t xml:space="preserve">старт</t>
        </is>
      </c>
      <c r="P2" s="6">
        <f>'Вводные'!$B$21+'Вводные'!$B$18-'Вложения'!$B$15</f>
        <v>236617</v>
      </c>
      <c r="Q2" s="6">
        <f>P2</f>
        <v>236617</v>
      </c>
    </row>
    <row r="3">
      <c r="A3">
        <v>1</v>
      </c>
      <c r="B3" t="inlineStr">
        <is>
          <t xml:space="preserve">январь</t>
        </is>
      </c>
      <c r="C3" s="4">
        <f>'Вводные'!$B$22</f>
        <v>0.3</v>
      </c>
      <c r="D3" s="2">
        <f>ROUND('Вводные'!$B$5*C3,0)</f>
        <v>24</v>
      </c>
      <c r="E3" s="2">
        <f>D3*'Вводные'!$B$6*'Вводные'!$B$2</f>
        <v>136800</v>
      </c>
      <c r="F3" s="2">
        <f>-D3*'Вводные'!$B$6*'Вводные'!$B$3</f>
        <v>-34560</v>
      </c>
      <c r="G3" s="2">
        <f>-ROUND(E3*'Вводные'!$B$4,0)</f>
        <v>-2736</v>
      </c>
      <c r="H3" s="2">
        <f>-'Вводные'!$B$7</f>
        <v>-45000</v>
      </c>
      <c r="I3" s="2">
        <f>-'Вводные'!$B$8*'Вводные'!$B$6*'Вводные'!$B$9</f>
        <v>-109200</v>
      </c>
      <c r="J3" s="2">
        <f>-('Вводные'!$B$12+'Вводные'!$B$13+'Вводные'!$B$14)</f>
        <v>-16690</v>
      </c>
      <c r="K3" s="2">
        <f>0</f>
        <v>0</v>
      </c>
      <c r="L3" s="2">
        <f>0</f>
        <v>0</v>
      </c>
      <c r="M3" s="2">
        <f>0</f>
        <v>0</v>
      </c>
      <c r="N3" s="2">
        <f>-ROUND('Вводные'!$B$18*'Вводные'!$B$19/12,0)</f>
        <v>-3542</v>
      </c>
      <c r="O3" s="2">
        <f>-(ROUND(PMT('Вводные'!$B$19/12,'Вводные'!$B$20,-'Вводные'!$B$18),0)+N3)</f>
        <v>-12242</v>
      </c>
      <c r="P3" s="6">
        <f>SUM(E3:O3)</f>
        <v>-87170</v>
      </c>
      <c r="Q3" s="6">
        <f>Q2+P3</f>
        <v>149447</v>
      </c>
      <c r="R3" s="2">
        <f>ROUND(ROUND(-I3*'Вводные'!$B$10,0)+ROUND(-I3*'Вводные'!$B$11,2),0)</f>
        <v>32978</v>
      </c>
    </row>
    <row r="4">
      <c r="A4">
        <v>2</v>
      </c>
      <c r="B4" t="inlineStr">
        <is>
          <t xml:space="preserve">февраль</t>
        </is>
      </c>
      <c r="C4" s="4">
        <f>'Вводные'!$B$23</f>
        <v>0.5</v>
      </c>
      <c r="D4" s="2">
        <f>ROUND('Вводные'!$B$5*C4,0)</f>
        <v>40</v>
      </c>
      <c r="E4" s="2">
        <f>D4*'Вводные'!$B$6*'Вводные'!$B$2</f>
        <v>228000</v>
      </c>
      <c r="F4" s="2">
        <f>-D4*'Вводные'!$B$6*'Вводные'!$B$3</f>
        <v>-57600</v>
      </c>
      <c r="G4" s="2">
        <f>-ROUND(E4*'Вводные'!$B$4,0)</f>
        <v>-4560</v>
      </c>
      <c r="H4" s="2">
        <f>-'Вводные'!$B$7</f>
        <v>-45000</v>
      </c>
      <c r="I4" s="2">
        <f>-'Вводные'!$B$8*'Вводные'!$B$6*'Вводные'!$B$9</f>
        <v>-109200</v>
      </c>
      <c r="J4" s="2">
        <f>-('Вводные'!$B$12+'Вводные'!$B$13+'Вводные'!$B$14)</f>
        <v>-16690</v>
      </c>
      <c r="K4" s="2">
        <f>-R3</f>
        <v>-32978</v>
      </c>
      <c r="L4" s="2">
        <f>0</f>
        <v>0</v>
      </c>
      <c r="M4" s="2">
        <f>0</f>
        <v>0</v>
      </c>
      <c r="N4" s="2">
        <f>-ROUND(('Вводные'!$B$18+SUM(O$3:O3))*'Вводные'!$B$19/12,0)</f>
        <v>-3455</v>
      </c>
      <c r="O4" s="2">
        <f>-(ROUND(PMT('Вводные'!$B$19/12,'Вводные'!$B$20,-'Вводные'!$B$18),0)+N4)</f>
        <v>-12329</v>
      </c>
      <c r="P4" s="6">
        <f>SUM(E4:O4)</f>
        <v>-53812</v>
      </c>
      <c r="Q4" s="6">
        <f>Q3+P4</f>
        <v>95635</v>
      </c>
      <c r="R4" s="2">
        <f>ROUND(ROUND(-I4*'Вводные'!$B$10,0)+ROUND(-I4*'Вводные'!$B$11,2),0)</f>
        <v>32978</v>
      </c>
    </row>
    <row r="5">
      <c r="A5">
        <v>3</v>
      </c>
      <c r="B5" t="inlineStr">
        <is>
          <t xml:space="preserve">март</t>
        </is>
      </c>
      <c r="C5" s="4">
        <f>'Вводные'!$B$24</f>
        <v>0.7</v>
      </c>
      <c r="D5" s="2">
        <f>ROUND('Вводные'!$B$5*C5,0)</f>
        <v>56</v>
      </c>
      <c r="E5" s="2">
        <f>D5*'Вводные'!$B$6*'Вводные'!$B$2</f>
        <v>319200</v>
      </c>
      <c r="F5" s="2">
        <f>-D5*'Вводные'!$B$6*'Вводные'!$B$3</f>
        <v>-80640</v>
      </c>
      <c r="G5" s="2">
        <f>-ROUND(E5*'Вводные'!$B$4,0)</f>
        <v>-6384</v>
      </c>
      <c r="H5" s="2">
        <f>-'Вводные'!$B$7</f>
        <v>-45000</v>
      </c>
      <c r="I5" s="2">
        <f>-'Вводные'!$B$8*'Вводные'!$B$6*'Вводные'!$B$9</f>
        <v>-109200</v>
      </c>
      <c r="J5" s="2">
        <f>-('Вводные'!$B$12+'Вводные'!$B$13+'Вводные'!$B$14)</f>
        <v>-16690</v>
      </c>
      <c r="K5" s="2">
        <f>-R4</f>
        <v>-32978</v>
      </c>
      <c r="L5" s="2">
        <f>-ROUND('Вводные'!$B$15/4,0)</f>
        <v>-14348</v>
      </c>
      <c r="M5" s="2">
        <f>0</f>
        <v>0</v>
      </c>
      <c r="N5" s="2">
        <f>-ROUND(('Вводные'!$B$18+SUM(O$3:O4))*'Вводные'!$B$19/12,0)</f>
        <v>-3368</v>
      </c>
      <c r="O5" s="2">
        <f>-(ROUND(PMT('Вводные'!$B$19/12,'Вводные'!$B$20,-'Вводные'!$B$18),0)+N5)</f>
        <v>-12416</v>
      </c>
      <c r="P5" s="6">
        <f>SUM(E5:O5)</f>
        <v>-1824</v>
      </c>
      <c r="Q5" s="6">
        <f>Q4+P5</f>
        <v>93811</v>
      </c>
      <c r="R5" s="2">
        <f>ROUND(ROUND(-I5*'Вводные'!$B$10,0)+ROUND(-I5*'Вводные'!$B$11,2),0)</f>
        <v>32978</v>
      </c>
    </row>
    <row r="6">
      <c r="A6">
        <v>4</v>
      </c>
      <c r="B6" t="inlineStr">
        <is>
          <t xml:space="preserve">апрель</t>
        </is>
      </c>
      <c r="C6" s="4">
        <f>'Вводные'!$B$25</f>
        <v>0.85</v>
      </c>
      <c r="D6" s="2">
        <f>ROUND('Вводные'!$B$5*C6,0)</f>
        <v>68</v>
      </c>
      <c r="E6" s="2">
        <f>D6*'Вводные'!$B$6*'Вводные'!$B$2</f>
        <v>387600</v>
      </c>
      <c r="F6" s="2">
        <f>-D6*'Вводные'!$B$6*'Вводные'!$B$3</f>
        <v>-97920</v>
      </c>
      <c r="G6" s="2">
        <f>-ROUND(E6*'Вводные'!$B$4,0)</f>
        <v>-7752</v>
      </c>
      <c r="H6" s="2">
        <f>-'Вводные'!$B$7</f>
        <v>-45000</v>
      </c>
      <c r="I6" s="2">
        <f>-'Вводные'!$B$8*'Вводные'!$B$6*'Вводные'!$B$9</f>
        <v>-109200</v>
      </c>
      <c r="J6" s="2">
        <f>-('Вводные'!$B$12+'Вводные'!$B$13+'Вводные'!$B$14)</f>
        <v>-16690</v>
      </c>
      <c r="K6" s="2">
        <f>-R5</f>
        <v>-32978</v>
      </c>
      <c r="L6" s="2">
        <f>0</f>
        <v>0</v>
      </c>
      <c r="M6" s="2">
        <f>-(ROUND(SUM(E3:E5)*'Вводные'!$B$16,0)-MIN(-SUM(K3:L5),ROUND(ROUND(SUM(E3:E5)*'Вводные'!$B$16,0)*'Вводные'!$B$17,0)))</f>
        <v>-20520</v>
      </c>
      <c r="N6" s="2">
        <f>-ROUND(('Вводные'!$B$18+SUM(O$3:O5))*'Вводные'!$B$19/12,0)</f>
        <v>-3280</v>
      </c>
      <c r="O6" s="2">
        <f>-(ROUND(PMT('Вводные'!$B$19/12,'Вводные'!$B$20,-'Вводные'!$B$18),0)+N6)</f>
        <v>-12504</v>
      </c>
      <c r="P6" s="6">
        <f>SUM(E6:O6)</f>
        <v>41756</v>
      </c>
      <c r="Q6" s="6">
        <f>Q5+P6</f>
        <v>135567</v>
      </c>
      <c r="R6" s="2">
        <f>ROUND(ROUND(-I6*'Вводные'!$B$10,0)+ROUND(-I6*'Вводные'!$B$11,2),0)</f>
        <v>32978</v>
      </c>
    </row>
    <row r="7">
      <c r="A7">
        <v>5</v>
      </c>
      <c r="B7" t="inlineStr">
        <is>
          <t xml:space="preserve">май</t>
        </is>
      </c>
      <c r="C7" s="4">
        <f>1</f>
        <v>1.0</v>
      </c>
      <c r="D7" s="2">
        <f>ROUND('Вводные'!$B$5*C7,0)</f>
        <v>80</v>
      </c>
      <c r="E7" s="2">
        <f>D7*'Вводные'!$B$6*'Вводные'!$B$2</f>
        <v>456000</v>
      </c>
      <c r="F7" s="2">
        <f>-D7*'Вводные'!$B$6*'Вводные'!$B$3</f>
        <v>-115200</v>
      </c>
      <c r="G7" s="2">
        <f>-ROUND(E7*'Вводные'!$B$4,0)</f>
        <v>-9120</v>
      </c>
      <c r="H7" s="2">
        <f>-'Вводные'!$B$7</f>
        <v>-45000</v>
      </c>
      <c r="I7" s="2">
        <f>-'Вводные'!$B$8*'Вводные'!$B$6*'Вводные'!$B$9</f>
        <v>-109200</v>
      </c>
      <c r="J7" s="2">
        <f>-('Вводные'!$B$12+'Вводные'!$B$13+'Вводные'!$B$14)</f>
        <v>-16690</v>
      </c>
      <c r="K7" s="2">
        <f>-R6</f>
        <v>-32978</v>
      </c>
      <c r="L7" s="2">
        <f>0</f>
        <v>0</v>
      </c>
      <c r="M7" s="2">
        <f>0</f>
        <v>0</v>
      </c>
      <c r="N7" s="2">
        <f>-ROUND(('Вводные'!$B$18+SUM(O$3:O6))*'Вводные'!$B$19/12,0)</f>
        <v>-3191</v>
      </c>
      <c r="O7" s="2">
        <f>-(ROUND(PMT('Вводные'!$B$19/12,'Вводные'!$B$20,-'Вводные'!$B$18),0)+N7)</f>
        <v>-12593</v>
      </c>
      <c r="P7" s="6">
        <f>SUM(E7:O7)</f>
        <v>112028</v>
      </c>
      <c r="Q7" s="6">
        <f>Q6+P7</f>
        <v>247595</v>
      </c>
      <c r="R7" s="2">
        <f>ROUND(ROUND(-I7*'Вводные'!$B$10,0)+ROUND(-I7*'Вводные'!$B$11,2),0)</f>
        <v>32978</v>
      </c>
    </row>
    <row r="8">
      <c r="A8">
        <v>6</v>
      </c>
      <c r="B8" t="inlineStr">
        <is>
          <t xml:space="preserve">июнь</t>
        </is>
      </c>
      <c r="C8" s="4">
        <f>1</f>
        <v>1.0</v>
      </c>
      <c r="D8" s="2">
        <f>ROUND('Вводные'!$B$5*C8,0)</f>
        <v>80</v>
      </c>
      <c r="E8" s="2">
        <f>D8*'Вводные'!$B$6*'Вводные'!$B$2</f>
        <v>456000</v>
      </c>
      <c r="F8" s="2">
        <f>-D8*'Вводные'!$B$6*'Вводные'!$B$3</f>
        <v>-115200</v>
      </c>
      <c r="G8" s="2">
        <f>-ROUND(E8*'Вводные'!$B$4,0)</f>
        <v>-9120</v>
      </c>
      <c r="H8" s="2">
        <f>-'Вводные'!$B$7</f>
        <v>-45000</v>
      </c>
      <c r="I8" s="2">
        <f>-'Вводные'!$B$8*'Вводные'!$B$6*'Вводные'!$B$9</f>
        <v>-109200</v>
      </c>
      <c r="J8" s="2">
        <f>-('Вводные'!$B$12+'Вводные'!$B$13+'Вводные'!$B$14)</f>
        <v>-16690</v>
      </c>
      <c r="K8" s="2">
        <f>-R7</f>
        <v>-32978</v>
      </c>
      <c r="L8" s="2">
        <f>-('Вводные'!$B$15-2*ROUND('Вводные'!$B$15/4,0))/2</f>
        <v>-14347</v>
      </c>
      <c r="M8" s="2">
        <f>0</f>
        <v>0</v>
      </c>
      <c r="N8" s="2">
        <f>-ROUND(('Вводные'!$B$18+SUM(O$3:O7))*'Вводные'!$B$19/12,0)</f>
        <v>-3102</v>
      </c>
      <c r="O8" s="2">
        <f>-(ROUND(PMT('Вводные'!$B$19/12,'Вводные'!$B$20,-'Вводные'!$B$18),0)+N8)</f>
        <v>-12682</v>
      </c>
      <c r="P8" s="6">
        <f>SUM(E8:O8)</f>
        <v>97681</v>
      </c>
      <c r="Q8" s="6">
        <f>Q7+P8</f>
        <v>345276</v>
      </c>
      <c r="R8" s="2">
        <f>ROUND(ROUND(-I8*'Вводные'!$B$10,0)+ROUND(-I8*'Вводные'!$B$11,2),0)</f>
        <v>32978</v>
      </c>
    </row>
    <row r="9">
      <c r="A9">
        <v>7</v>
      </c>
      <c r="B9" t="inlineStr">
        <is>
          <t xml:space="preserve">июль</t>
        </is>
      </c>
      <c r="C9" s="4">
        <f>1</f>
        <v>1.0</v>
      </c>
      <c r="D9" s="2">
        <f>ROUND('Вводные'!$B$5*C9,0)</f>
        <v>80</v>
      </c>
      <c r="E9" s="2">
        <f>D9*'Вводные'!$B$6*'Вводные'!$B$2</f>
        <v>456000</v>
      </c>
      <c r="F9" s="2">
        <f>-D9*'Вводные'!$B$6*'Вводные'!$B$3</f>
        <v>-115200</v>
      </c>
      <c r="G9" s="2">
        <f>-ROUND(E9*'Вводные'!$B$4,0)</f>
        <v>-9120</v>
      </c>
      <c r="H9" s="2">
        <f>-'Вводные'!$B$7</f>
        <v>-45000</v>
      </c>
      <c r="I9" s="2">
        <f>-'Вводные'!$B$8*'Вводные'!$B$6*'Вводные'!$B$9</f>
        <v>-109200</v>
      </c>
      <c r="J9" s="2">
        <f>-('Вводные'!$B$12+'Вводные'!$B$13+'Вводные'!$B$14)</f>
        <v>-16690</v>
      </c>
      <c r="K9" s="2">
        <f>-R8</f>
        <v>-32978</v>
      </c>
      <c r="L9" s="2">
        <f>0</f>
        <v>0</v>
      </c>
      <c r="M9" s="2">
        <f>-(ROUND(SUM(E6:E8)*'Вводные'!$B$16,0)-MIN(-SUM(K6:L8),ROUND(ROUND(SUM(E6:E8)*'Вводные'!$B$16,0)*'Вводные'!$B$17,0)))</f>
        <v>-38988</v>
      </c>
      <c r="N9" s="2">
        <f>-ROUND(('Вводные'!$B$18+SUM(O$3:O8))*'Вводные'!$B$19/12,0)</f>
        <v>-3012</v>
      </c>
      <c r="O9" s="2">
        <f>-(ROUND(PMT('Вводные'!$B$19/12,'Вводные'!$B$20,-'Вводные'!$B$18),0)+N9)</f>
        <v>-12772</v>
      </c>
      <c r="P9" s="6">
        <f>SUM(E9:O9)</f>
        <v>73040</v>
      </c>
      <c r="Q9" s="6">
        <f>Q8+P9</f>
        <v>418316</v>
      </c>
      <c r="R9" s="2">
        <f>ROUND(ROUND(-I9*'Вводные'!$B$10,0)+ROUND(-I9*'Вводные'!$B$11,2),0)</f>
        <v>32978</v>
      </c>
    </row>
    <row r="10">
      <c r="A10">
        <v>8</v>
      </c>
      <c r="B10" t="inlineStr">
        <is>
          <t xml:space="preserve">август</t>
        </is>
      </c>
      <c r="C10" s="4">
        <f>1</f>
        <v>1.0</v>
      </c>
      <c r="D10" s="2">
        <f>ROUND('Вводные'!$B$5*C10,0)</f>
        <v>80</v>
      </c>
      <c r="E10" s="2">
        <f>D10*'Вводные'!$B$6*'Вводные'!$B$2</f>
        <v>456000</v>
      </c>
      <c r="F10" s="2">
        <f>-D10*'Вводные'!$B$6*'Вводные'!$B$3</f>
        <v>-115200</v>
      </c>
      <c r="G10" s="2">
        <f>-ROUND(E10*'Вводные'!$B$4,0)</f>
        <v>-9120</v>
      </c>
      <c r="H10" s="2">
        <f>-'Вводные'!$B$7</f>
        <v>-45000</v>
      </c>
      <c r="I10" s="2">
        <f>-'Вводные'!$B$8*'Вводные'!$B$6*'Вводные'!$B$9</f>
        <v>-109200</v>
      </c>
      <c r="J10" s="2">
        <f>-('Вводные'!$B$12+'Вводные'!$B$13+'Вводные'!$B$14)</f>
        <v>-16690</v>
      </c>
      <c r="K10" s="2">
        <f>-R9</f>
        <v>-32978</v>
      </c>
      <c r="L10" s="2">
        <f>0</f>
        <v>0</v>
      </c>
      <c r="M10" s="2">
        <f>0</f>
        <v>0</v>
      </c>
      <c r="N10" s="2">
        <f>-ROUND(('Вводные'!$B$18+SUM(O$3:O9))*'Вводные'!$B$19/12,0)</f>
        <v>-2922</v>
      </c>
      <c r="O10" s="2">
        <f>-(ROUND(PMT('Вводные'!$B$19/12,'Вводные'!$B$20,-'Вводные'!$B$18),0)+N10)</f>
        <v>-12862</v>
      </c>
      <c r="P10" s="6">
        <f>SUM(E10:O10)</f>
        <v>112028</v>
      </c>
      <c r="Q10" s="6">
        <f>Q9+P10</f>
        <v>530344</v>
      </c>
      <c r="R10" s="2">
        <f>ROUND(ROUND(-I10*'Вводные'!$B$10,0)+ROUND(-I10*'Вводные'!$B$11,2),0)</f>
        <v>32978</v>
      </c>
    </row>
    <row r="11">
      <c r="A11">
        <v>9</v>
      </c>
      <c r="B11" t="inlineStr">
        <is>
          <t xml:space="preserve">сентябрь</t>
        </is>
      </c>
      <c r="C11" s="4">
        <f>1</f>
        <v>1.0</v>
      </c>
      <c r="D11" s="2">
        <f>ROUND('Вводные'!$B$5*C11,0)</f>
        <v>80</v>
      </c>
      <c r="E11" s="2">
        <f>D11*'Вводные'!$B$6*'Вводные'!$B$2</f>
        <v>456000</v>
      </c>
      <c r="F11" s="2">
        <f>-D11*'Вводные'!$B$6*'Вводные'!$B$3</f>
        <v>-115200</v>
      </c>
      <c r="G11" s="2">
        <f>-ROUND(E11*'Вводные'!$B$4,0)</f>
        <v>-9120</v>
      </c>
      <c r="H11" s="2">
        <f>-'Вводные'!$B$7</f>
        <v>-45000</v>
      </c>
      <c r="I11" s="2">
        <f>-'Вводные'!$B$8*'Вводные'!$B$6*'Вводные'!$B$9</f>
        <v>-109200</v>
      </c>
      <c r="J11" s="2">
        <f>-('Вводные'!$B$12+'Вводные'!$B$13+'Вводные'!$B$14)</f>
        <v>-16690</v>
      </c>
      <c r="K11" s="2">
        <f>-R10</f>
        <v>-32978</v>
      </c>
      <c r="L11" s="2">
        <f>-ROUND('Вводные'!$B$15/4,0)</f>
        <v>-14348</v>
      </c>
      <c r="M11" s="2">
        <f>0</f>
        <v>0</v>
      </c>
      <c r="N11" s="2">
        <f>-ROUND(('Вводные'!$B$18+SUM(O$3:O10))*'Вводные'!$B$19/12,0)</f>
        <v>-2831</v>
      </c>
      <c r="O11" s="2">
        <f>-(ROUND(PMT('Вводные'!$B$19/12,'Вводные'!$B$20,-'Вводные'!$B$18),0)+N11)</f>
        <v>-12953</v>
      </c>
      <c r="P11" s="6">
        <f>SUM(E11:O11)</f>
        <v>97680</v>
      </c>
      <c r="Q11" s="6">
        <f>Q10+P11</f>
        <v>628024</v>
      </c>
      <c r="R11" s="2">
        <f>ROUND(ROUND(-I11*'Вводные'!$B$10,0)+ROUND(-I11*'Вводные'!$B$11,2),0)</f>
        <v>32978</v>
      </c>
    </row>
    <row r="12">
      <c r="A12">
        <v>10</v>
      </c>
      <c r="B12" t="inlineStr">
        <is>
          <t xml:space="preserve">октябрь</t>
        </is>
      </c>
      <c r="C12" s="4">
        <f>1</f>
        <v>1.0</v>
      </c>
      <c r="D12" s="2">
        <f>ROUND('Вводные'!$B$5*C12,0)</f>
        <v>80</v>
      </c>
      <c r="E12" s="2">
        <f>D12*'Вводные'!$B$6*'Вводные'!$B$2</f>
        <v>456000</v>
      </c>
      <c r="F12" s="2">
        <f>-D12*'Вводные'!$B$6*'Вводные'!$B$3</f>
        <v>-115200</v>
      </c>
      <c r="G12" s="2">
        <f>-ROUND(E12*'Вводные'!$B$4,0)</f>
        <v>-9120</v>
      </c>
      <c r="H12" s="2">
        <f>-'Вводные'!$B$7</f>
        <v>-45000</v>
      </c>
      <c r="I12" s="2">
        <f>-'Вводные'!$B$8*'Вводные'!$B$6*'Вводные'!$B$9</f>
        <v>-109200</v>
      </c>
      <c r="J12" s="2">
        <f>-('Вводные'!$B$12+'Вводные'!$B$13+'Вводные'!$B$14)</f>
        <v>-16690</v>
      </c>
      <c r="K12" s="2">
        <f>-R11</f>
        <v>-32978</v>
      </c>
      <c r="L12" s="2">
        <f>0</f>
        <v>0</v>
      </c>
      <c r="M12" s="2">
        <f>-(ROUND(SUM(E9:E11)*'Вводные'!$B$16,0)-MIN(-SUM(K9:L11),ROUND(ROUND(SUM(E9:E11)*'Вводные'!$B$16,0)*'Вводные'!$B$17,0)))</f>
        <v>-41040</v>
      </c>
      <c r="N12" s="2">
        <f>-ROUND(('Вводные'!$B$18+SUM(O$3:O11))*'Вводные'!$B$19/12,0)</f>
        <v>-2739</v>
      </c>
      <c r="O12" s="2">
        <f>-(ROUND(PMT('Вводные'!$B$19/12,'Вводные'!$B$20,-'Вводные'!$B$18),0)+N12)</f>
        <v>-13045</v>
      </c>
      <c r="P12" s="6">
        <f>SUM(E12:O12)</f>
        <v>70988</v>
      </c>
      <c r="Q12" s="6">
        <f>Q11+P12</f>
        <v>699012</v>
      </c>
      <c r="R12" s="2">
        <f>ROUND(ROUND(-I12*'Вводные'!$B$10,0)+ROUND(-I12*'Вводные'!$B$11,2),0)</f>
        <v>32978</v>
      </c>
    </row>
    <row r="13">
      <c r="A13">
        <v>11</v>
      </c>
      <c r="B13" t="inlineStr">
        <is>
          <t xml:space="preserve">ноябрь</t>
        </is>
      </c>
      <c r="C13" s="4">
        <f>1</f>
        <v>1.0</v>
      </c>
      <c r="D13" s="2">
        <f>ROUND('Вводные'!$B$5*C13,0)</f>
        <v>80</v>
      </c>
      <c r="E13" s="2">
        <f>D13*'Вводные'!$B$6*'Вводные'!$B$2</f>
        <v>456000</v>
      </c>
      <c r="F13" s="2">
        <f>-D13*'Вводные'!$B$6*'Вводные'!$B$3</f>
        <v>-115200</v>
      </c>
      <c r="G13" s="2">
        <f>-ROUND(E13*'Вводные'!$B$4,0)</f>
        <v>-9120</v>
      </c>
      <c r="H13" s="2">
        <f>-'Вводные'!$B$7</f>
        <v>-45000</v>
      </c>
      <c r="I13" s="2">
        <f>-'Вводные'!$B$8*'Вводные'!$B$6*'Вводные'!$B$9</f>
        <v>-109200</v>
      </c>
      <c r="J13" s="2">
        <f>-('Вводные'!$B$12+'Вводные'!$B$13+'Вводные'!$B$14)</f>
        <v>-16690</v>
      </c>
      <c r="K13" s="2">
        <f>-R12</f>
        <v>-32978</v>
      </c>
      <c r="L13" s="2">
        <f>0</f>
        <v>0</v>
      </c>
      <c r="M13" s="2">
        <f>0</f>
        <v>0</v>
      </c>
      <c r="N13" s="2">
        <f>-ROUND(('Вводные'!$B$18+SUM(O$3:O12))*'Вводные'!$B$19/12,0)</f>
        <v>-2646</v>
      </c>
      <c r="O13" s="2">
        <f>-(ROUND(PMT('Вводные'!$B$19/12,'Вводные'!$B$20,-'Вводные'!$B$18),0)+N13)</f>
        <v>-13138</v>
      </c>
      <c r="P13" s="6">
        <f>SUM(E13:O13)</f>
        <v>112028</v>
      </c>
      <c r="Q13" s="6">
        <f>Q12+P13</f>
        <v>811040</v>
      </c>
      <c r="R13" s="2">
        <f>ROUND(ROUND(-I13*'Вводные'!$B$10,0)+ROUND(-I13*'Вводные'!$B$11,2),0)</f>
        <v>32978</v>
      </c>
    </row>
    <row r="14">
      <c r="A14">
        <v>12</v>
      </c>
      <c r="B14" t="inlineStr">
        <is>
          <t xml:space="preserve">декабрь</t>
        </is>
      </c>
      <c r="C14" s="4">
        <f>1</f>
        <v>1.0</v>
      </c>
      <c r="D14" s="2">
        <f>ROUND('Вводные'!$B$5*C14,0)</f>
        <v>80</v>
      </c>
      <c r="E14" s="2">
        <f>D14*'Вводные'!$B$6*'Вводные'!$B$2</f>
        <v>456000</v>
      </c>
      <c r="F14" s="2">
        <f>-D14*'Вводные'!$B$6*'Вводные'!$B$3</f>
        <v>-115200</v>
      </c>
      <c r="G14" s="2">
        <f>-ROUND(E14*'Вводные'!$B$4,0)</f>
        <v>-9120</v>
      </c>
      <c r="H14" s="2">
        <f>-'Вводные'!$B$7</f>
        <v>-45000</v>
      </c>
      <c r="I14" s="2">
        <f>-'Вводные'!$B$8*'Вводные'!$B$6*'Вводные'!$B$9</f>
        <v>-109200</v>
      </c>
      <c r="J14" s="2">
        <f>-('Вводные'!$B$12+'Вводные'!$B$13+'Вводные'!$B$14)</f>
        <v>-16690</v>
      </c>
      <c r="K14" s="2">
        <f>-R13</f>
        <v>-32978</v>
      </c>
      <c r="L14" s="2">
        <f>-('Вводные'!$B$15-2*ROUND('Вводные'!$B$15/4,0))/2</f>
        <v>-14347</v>
      </c>
      <c r="M14" s="2">
        <f>0</f>
        <v>0</v>
      </c>
      <c r="N14" s="2">
        <f>-ROUND(('Вводные'!$B$18+SUM(O$3:O13))*'Вводные'!$B$19/12,0)</f>
        <v>-2553</v>
      </c>
      <c r="O14" s="2">
        <f>-(ROUND(PMT('Вводные'!$B$19/12,'Вводные'!$B$20,-'Вводные'!$B$18),0)+N14)</f>
        <v>-13231</v>
      </c>
      <c r="P14" s="6">
        <f>SUM(E14:O14)</f>
        <v>97681</v>
      </c>
      <c r="Q14" s="6">
        <f>Q13+P14</f>
        <v>908721</v>
      </c>
      <c r="R14" s="2">
        <f>ROUND(ROUND(-I14*'Вводные'!$B$10,0)+ROUND(-I14*'Вводные'!$B$11,2),0)</f>
        <v>32978</v>
      </c>
    </row>
    <row r="15">
      <c r="A15" s="1" t="inlineStr">
        <is>
          <t xml:space="preserve">Итого</t>
        </is>
      </c>
      <c r="E15" s="6">
        <f>SUM(E3:E14)</f>
        <v>4719600</v>
      </c>
      <c r="F15" s="6">
        <f>SUM(F3:F14)</f>
        <v>-1192320</v>
      </c>
      <c r="G15" s="6">
        <f>SUM(G3:G14)</f>
        <v>-94392</v>
      </c>
      <c r="H15" s="6">
        <f>SUM(H3:H14)</f>
        <v>-540000</v>
      </c>
      <c r="I15" s="6">
        <f>SUM(I3:I14)</f>
        <v>-1310400</v>
      </c>
      <c r="J15" s="6">
        <f>SUM(J3:J14)</f>
        <v>-200280</v>
      </c>
      <c r="K15" s="6">
        <f>SUM(K3:K14)</f>
        <v>-362758</v>
      </c>
      <c r="L15" s="6">
        <f>SUM(L3:L14)</f>
        <v>-57390</v>
      </c>
      <c r="M15" s="6">
        <f>SUM(M3:M14)</f>
        <v>-100548</v>
      </c>
      <c r="N15" s="6">
        <f>SUM(N3:N14)</f>
        <v>-36641</v>
      </c>
      <c r="O15" s="6">
        <f>SUM(O3:O14)</f>
        <v>-152767</v>
      </c>
      <c r="P15" s="6">
        <f>SUM(P3:P14)</f>
        <v>672104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2" customWidth="1"/>
    <col min="4" max="4" width="14" customWidth="1"/>
    <col min="5" max="5" width="12" customWidth="1"/>
    <col min="6" max="6" width="12" customWidth="1"/>
    <col min="7" max="7" width="12" customWidth="1"/>
    <col min="8" max="8" width="12" customWidth="1"/>
    <col min="9" max="9" width="14" customWidth="1"/>
    <col min="10" max="10" width="14" customWidth="1"/>
    <col min="11" max="11" width="16" customWidth="1"/>
  </cols>
  <sheetData>
    <row r="1">
      <c r="A1" s="1" t="inlineStr">
        <is>
          <t xml:space="preserve">Месяц</t>
        </is>
      </c>
      <c r="B1" s="1" t="inlineStr">
        <is>
          <t xml:space="preserve">Загрузка</t>
        </is>
      </c>
      <c r="C1" s="1" t="inlineStr">
        <is>
          <t xml:space="preserve">Чашек в день</t>
        </is>
      </c>
      <c r="D1" s="1" t="inlineStr">
        <is>
          <t xml:space="preserve">Выручка</t>
        </is>
      </c>
      <c r="E1" s="1" t="inlineStr">
        <is>
          <t xml:space="preserve">Переменные</t>
        </is>
      </c>
      <c r="F1" s="1" t="inlineStr">
        <is>
          <t xml:space="preserve">Налог 3 %</t>
        </is>
      </c>
      <c r="G1" s="1" t="inlineStr">
        <is>
          <t xml:space="preserve">Взносы 1 %</t>
        </is>
      </c>
      <c r="H1" s="1" t="inlineStr">
        <is>
          <t xml:space="preserve">Постоянные</t>
        </is>
      </c>
      <c r="I1" s="1" t="inlineStr">
        <is>
          <t xml:space="preserve">Прибыль</t>
        </is>
      </c>
      <c r="J1" s="1" t="inlineStr">
        <is>
          <t xml:space="preserve">Накоплено − вложения</t>
        </is>
      </c>
      <c r="K1" s="1" t="inlineStr">
        <is>
          <t xml:space="preserve">Окупились (месяц)</t>
        </is>
      </c>
    </row>
    <row r="2">
      <c r="A2">
        <v>1</v>
      </c>
      <c r="B2" s="4">
        <f>'Вводные'!$B$22</f>
        <v>0.3</v>
      </c>
      <c r="C2" s="2">
        <f>ROUND('Вводные'!$B$5*B2,0)</f>
        <v>24</v>
      </c>
      <c r="D2" s="2">
        <f>C2*'Вводные'!$B$6*'Вводные'!$B$2</f>
        <v>136800</v>
      </c>
      <c r="E2" s="2">
        <f>-(C2*'Вводные'!$B$6*'Вводные'!$B$3+ROUND(D2*'Вводные'!$B$4,0))</f>
        <v>-37296</v>
      </c>
      <c r="F2" s="2">
        <f>-ROUND(D2*'Вводные'!$B$16*(1-'Вводные'!$B$17),0)</f>
        <v>-4104</v>
      </c>
      <c r="G2" s="3">
        <f>-ROUND((MAX(0,SUM(D2:D2)-300000)-0)*0.01,2)</f>
        <v>-0.0</v>
      </c>
      <c r="H2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" s="9">
        <f>ROUND(SUM(D2:H2),2)</f>
        <v>-113250.5</v>
      </c>
      <c r="J2" s="3">
        <f>-'Вложения'!$B$15+I2</f>
        <v>-826633.5</v>
      </c>
      <c r="K2" s="8" t="str">
        <f>IF(AND(J2&gt;=0,-'Вложения'!$B$15&lt;0),A2-1+(-(-'Вложения'!$B$15))/I2,"")</f>
        <v/>
      </c>
    </row>
    <row r="3">
      <c r="A3">
        <v>2</v>
      </c>
      <c r="B3" s="4">
        <f>'Вводные'!$B$23</f>
        <v>0.5</v>
      </c>
      <c r="C3" s="2">
        <f>ROUND('Вводные'!$B$5*B3,0)</f>
        <v>40</v>
      </c>
      <c r="D3" s="2">
        <f>C3*'Вводные'!$B$6*'Вводные'!$B$2</f>
        <v>228000</v>
      </c>
      <c r="E3" s="2">
        <f>-(C3*'Вводные'!$B$6*'Вводные'!$B$3+ROUND(D3*'Вводные'!$B$4,0))</f>
        <v>-62160</v>
      </c>
      <c r="F3" s="2">
        <f>-ROUND(D3*'Вводные'!$B$16*(1-'Вводные'!$B$17),0)</f>
        <v>-6840</v>
      </c>
      <c r="G3" s="3">
        <f>-ROUND((MAX(0,SUM(D2:D3)-300000)-MAX(0,SUM(D2:D2)-300000))*0.01,2)</f>
        <v>-648.0</v>
      </c>
      <c r="H3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" s="9">
        <f>ROUND(SUM(D3:H3),2)</f>
        <v>-50298.5</v>
      </c>
      <c r="J3" s="3">
        <f>J2+I3</f>
        <v>-876932.0</v>
      </c>
      <c r="K3" s="8" t="str">
        <f>IF(AND(J3&gt;=0,J2&lt;0),A3-1+(-(J2))/I3,"")</f>
        <v/>
      </c>
    </row>
    <row r="4">
      <c r="A4">
        <v>3</v>
      </c>
      <c r="B4" s="4">
        <f>'Вводные'!$B$24</f>
        <v>0.7</v>
      </c>
      <c r="C4" s="2">
        <f>ROUND('Вводные'!$B$5*B4,0)</f>
        <v>56</v>
      </c>
      <c r="D4" s="2">
        <f>C4*'Вводные'!$B$6*'Вводные'!$B$2</f>
        <v>319200</v>
      </c>
      <c r="E4" s="2">
        <f>-(C4*'Вводные'!$B$6*'Вводные'!$B$3+ROUND(D4*'Вводные'!$B$4,0))</f>
        <v>-87024</v>
      </c>
      <c r="F4" s="2">
        <f>-ROUND(D4*'Вводные'!$B$16*(1-'Вводные'!$B$17),0)</f>
        <v>-9576</v>
      </c>
      <c r="G4" s="3">
        <f>-ROUND((MAX(0,SUM(D2:D4)-300000)-MAX(0,SUM(D2:D3)-300000))*0.01,2)</f>
        <v>-3192.0</v>
      </c>
      <c r="H4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" s="9">
        <f>ROUND(SUM(D4:H4),2)</f>
        <v>10757.5</v>
      </c>
      <c r="J4" s="3">
        <f>J3+I4</f>
        <v>-866174.5</v>
      </c>
      <c r="K4" s="8" t="str">
        <f>IF(AND(J4&gt;=0,J3&lt;0),A4-1+(-(J3))/I4,"")</f>
        <v/>
      </c>
    </row>
    <row r="5">
      <c r="A5">
        <v>4</v>
      </c>
      <c r="B5" s="4">
        <f>'Вводные'!$B$25</f>
        <v>0.85</v>
      </c>
      <c r="C5" s="2">
        <f>ROUND('Вводные'!$B$5*B5,0)</f>
        <v>68</v>
      </c>
      <c r="D5" s="2">
        <f>C5*'Вводные'!$B$6*'Вводные'!$B$2</f>
        <v>387600</v>
      </c>
      <c r="E5" s="2">
        <f>-(C5*'Вводные'!$B$6*'Вводные'!$B$3+ROUND(D5*'Вводные'!$B$4,0))</f>
        <v>-105672</v>
      </c>
      <c r="F5" s="2">
        <f>-ROUND(D5*'Вводные'!$B$16*(1-'Вводные'!$B$17),0)</f>
        <v>-11628</v>
      </c>
      <c r="G5" s="3">
        <f>-ROUND((MAX(0,SUM(D2:D5)-300000)-MAX(0,SUM(D2:D4)-300000))*0.01,2)</f>
        <v>-3876.0</v>
      </c>
      <c r="H5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" s="9">
        <f>ROUND(SUM(D5:H5),2)</f>
        <v>57773.5</v>
      </c>
      <c r="J5" s="3">
        <f>J4+I5</f>
        <v>-808401.0</v>
      </c>
      <c r="K5" s="8" t="str">
        <f>IF(AND(J5&gt;=0,J4&lt;0),A5-1+(-(J4))/I5,"")</f>
        <v/>
      </c>
    </row>
    <row r="6">
      <c r="A6">
        <v>5</v>
      </c>
      <c r="B6" s="4">
        <f>1</f>
        <v>1</v>
      </c>
      <c r="C6" s="2">
        <f>ROUND('Вводные'!$B$5*B6,0)</f>
        <v>80</v>
      </c>
      <c r="D6" s="2">
        <f>C6*'Вводные'!$B$6*'Вводные'!$B$2</f>
        <v>456000</v>
      </c>
      <c r="E6" s="2">
        <f>-(C6*'Вводные'!$B$6*'Вводные'!$B$3+ROUND(D6*'Вводные'!$B$4,0))</f>
        <v>-124320</v>
      </c>
      <c r="F6" s="2">
        <f>-ROUND(D6*'Вводные'!$B$16*(1-'Вводные'!$B$17),0)</f>
        <v>-13680</v>
      </c>
      <c r="G6" s="3">
        <f>-ROUND((MAX(0,SUM(D2:D6)-300000)-MAX(0,SUM(D2:D5)-300000))*0.01,2)</f>
        <v>-4560.0</v>
      </c>
      <c r="H6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6" s="9">
        <f>ROUND(SUM(D6:H6),2)</f>
        <v>104789.5</v>
      </c>
      <c r="J6" s="3">
        <f>J5+I6</f>
        <v>-703611.5</v>
      </c>
      <c r="K6" s="8" t="str">
        <f>IF(AND(J6&gt;=0,J5&lt;0),A6-1+(-(J5))/I6,"")</f>
        <v/>
      </c>
    </row>
    <row r="7">
      <c r="A7">
        <v>6</v>
      </c>
      <c r="B7" s="4">
        <f>1</f>
        <v>1</v>
      </c>
      <c r="C7" s="2">
        <f>ROUND('Вводные'!$B$5*B7,0)</f>
        <v>80</v>
      </c>
      <c r="D7" s="2">
        <f>C7*'Вводные'!$B$6*'Вводные'!$B$2</f>
        <v>456000</v>
      </c>
      <c r="E7" s="2">
        <f>-(C7*'Вводные'!$B$6*'Вводные'!$B$3+ROUND(D7*'Вводные'!$B$4,0))</f>
        <v>-124320</v>
      </c>
      <c r="F7" s="2">
        <f>-ROUND(D7*'Вводные'!$B$16*(1-'Вводные'!$B$17),0)</f>
        <v>-13680</v>
      </c>
      <c r="G7" s="3">
        <f>-ROUND((MAX(0,SUM(D2:D7)-300000)-MAX(0,SUM(D2:D6)-300000))*0.01,2)</f>
        <v>-4560.0</v>
      </c>
      <c r="H7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7" s="9">
        <f>ROUND(SUM(D7:H7),2)</f>
        <v>104789.5</v>
      </c>
      <c r="J7" s="3">
        <f>J6+I7</f>
        <v>-598822.0</v>
      </c>
      <c r="K7" s="8" t="str">
        <f>IF(AND(J7&gt;=0,J6&lt;0),A7-1+(-(J6))/I7,"")</f>
        <v/>
      </c>
    </row>
    <row r="8">
      <c r="A8">
        <v>7</v>
      </c>
      <c r="B8" s="4">
        <f>1</f>
        <v>1</v>
      </c>
      <c r="C8" s="2">
        <f>ROUND('Вводные'!$B$5*B8,0)</f>
        <v>80</v>
      </c>
      <c r="D8" s="2">
        <f>C8*'Вводные'!$B$6*'Вводные'!$B$2</f>
        <v>456000</v>
      </c>
      <c r="E8" s="2">
        <f>-(C8*'Вводные'!$B$6*'Вводные'!$B$3+ROUND(D8*'Вводные'!$B$4,0))</f>
        <v>-124320</v>
      </c>
      <c r="F8" s="2">
        <f>-ROUND(D8*'Вводные'!$B$16*(1-'Вводные'!$B$17),0)</f>
        <v>-13680</v>
      </c>
      <c r="G8" s="3">
        <f>-ROUND((MAX(0,SUM(D2:D8)-300000)-MAX(0,SUM(D2:D7)-300000))*0.01,2)</f>
        <v>-4560.0</v>
      </c>
      <c r="H8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8" s="9">
        <f>ROUND(SUM(D8:H8),2)</f>
        <v>104789.5</v>
      </c>
      <c r="J8" s="3">
        <f>J7+I8</f>
        <v>-494032.5</v>
      </c>
      <c r="K8" s="8" t="str">
        <f>IF(AND(J8&gt;=0,J7&lt;0),A8-1+(-(J7))/I8,"")</f>
        <v/>
      </c>
    </row>
    <row r="9">
      <c r="A9">
        <v>8</v>
      </c>
      <c r="B9" s="4">
        <f>1</f>
        <v>1</v>
      </c>
      <c r="C9" s="2">
        <f>ROUND('Вводные'!$B$5*B9,0)</f>
        <v>80</v>
      </c>
      <c r="D9" s="2">
        <f>C9*'Вводные'!$B$6*'Вводные'!$B$2</f>
        <v>456000</v>
      </c>
      <c r="E9" s="2">
        <f>-(C9*'Вводные'!$B$6*'Вводные'!$B$3+ROUND(D9*'Вводные'!$B$4,0))</f>
        <v>-124320</v>
      </c>
      <c r="F9" s="2">
        <f>-ROUND(D9*'Вводные'!$B$16*(1-'Вводные'!$B$17),0)</f>
        <v>-13680</v>
      </c>
      <c r="G9" s="3">
        <f>-ROUND((MAX(0,SUM(D2:D9)-300000)-MAX(0,SUM(D2:D8)-300000))*0.01,2)</f>
        <v>-4560.0</v>
      </c>
      <c r="H9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9" s="9">
        <f>ROUND(SUM(D9:H9),2)</f>
        <v>104789.5</v>
      </c>
      <c r="J9" s="3">
        <f>J8+I9</f>
        <v>-389243.0</v>
      </c>
      <c r="K9" s="8" t="str">
        <f>IF(AND(J9&gt;=0,J8&lt;0),A9-1+(-(J8))/I9,"")</f>
        <v/>
      </c>
    </row>
    <row r="10">
      <c r="A10">
        <v>9</v>
      </c>
      <c r="B10" s="4">
        <f>1</f>
        <v>1</v>
      </c>
      <c r="C10" s="2">
        <f>ROUND('Вводные'!$B$5*B10,0)</f>
        <v>80</v>
      </c>
      <c r="D10" s="2">
        <f>C10*'Вводные'!$B$6*'Вводные'!$B$2</f>
        <v>456000</v>
      </c>
      <c r="E10" s="2">
        <f>-(C10*'Вводные'!$B$6*'Вводные'!$B$3+ROUND(D10*'Вводные'!$B$4,0))</f>
        <v>-124320</v>
      </c>
      <c r="F10" s="2">
        <f>-ROUND(D10*'Вводные'!$B$16*(1-'Вводные'!$B$17),0)</f>
        <v>-13680</v>
      </c>
      <c r="G10" s="3">
        <f>-ROUND((MAX(0,SUM(D2:D10)-300000)-MAX(0,SUM(D2:D9)-300000))*0.01,2)</f>
        <v>-4560.0</v>
      </c>
      <c r="H10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0" s="9">
        <f>ROUND(SUM(D10:H10),2)</f>
        <v>104789.5</v>
      </c>
      <c r="J10" s="3">
        <f>J9+I10</f>
        <v>-284453.5</v>
      </c>
      <c r="K10" s="8" t="str">
        <f>IF(AND(J10&gt;=0,J9&lt;0),A10-1+(-(J9))/I10,"")</f>
        <v/>
      </c>
    </row>
    <row r="11">
      <c r="A11">
        <v>10</v>
      </c>
      <c r="B11" s="4">
        <f>1</f>
        <v>1</v>
      </c>
      <c r="C11" s="2">
        <f>ROUND('Вводные'!$B$5*B11,0)</f>
        <v>80</v>
      </c>
      <c r="D11" s="2">
        <f>C11*'Вводные'!$B$6*'Вводные'!$B$2</f>
        <v>456000</v>
      </c>
      <c r="E11" s="2">
        <f>-(C11*'Вводные'!$B$6*'Вводные'!$B$3+ROUND(D11*'Вводные'!$B$4,0))</f>
        <v>-124320</v>
      </c>
      <c r="F11" s="2">
        <f>-ROUND(D11*'Вводные'!$B$16*(1-'Вводные'!$B$17),0)</f>
        <v>-13680</v>
      </c>
      <c r="G11" s="3">
        <f>-ROUND((MAX(0,SUM(D2:D11)-300000)-MAX(0,SUM(D2:D10)-300000))*0.01,2)</f>
        <v>-4560.0</v>
      </c>
      <c r="H11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1" s="9">
        <f>ROUND(SUM(D11:H11),2)</f>
        <v>104789.5</v>
      </c>
      <c r="J11" s="3">
        <f>J10+I11</f>
        <v>-179664.0</v>
      </c>
      <c r="K11" s="8" t="str">
        <f>IF(AND(J11&gt;=0,J10&lt;0),A11-1+(-(J10))/I11,"")</f>
        <v/>
      </c>
    </row>
    <row r="12">
      <c r="A12">
        <v>11</v>
      </c>
      <c r="B12" s="4">
        <f>1</f>
        <v>1</v>
      </c>
      <c r="C12" s="2">
        <f>ROUND('Вводные'!$B$5*B12,0)</f>
        <v>80</v>
      </c>
      <c r="D12" s="2">
        <f>C12*'Вводные'!$B$6*'Вводные'!$B$2</f>
        <v>456000</v>
      </c>
      <c r="E12" s="2">
        <f>-(C12*'Вводные'!$B$6*'Вводные'!$B$3+ROUND(D12*'Вводные'!$B$4,0))</f>
        <v>-124320</v>
      </c>
      <c r="F12" s="2">
        <f>-ROUND(D12*'Вводные'!$B$16*(1-'Вводные'!$B$17),0)</f>
        <v>-13680</v>
      </c>
      <c r="G12" s="3">
        <f>-ROUND((MAX(0,SUM(D2:D12)-300000)-MAX(0,SUM(D2:D11)-300000))*0.01,2)</f>
        <v>-4560.0</v>
      </c>
      <c r="H12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2" s="9">
        <f>ROUND(SUM(D12:H12),2)</f>
        <v>104789.5</v>
      </c>
      <c r="J12" s="3">
        <f>J11+I12</f>
        <v>-74874.5</v>
      </c>
      <c r="K12" s="8" t="str">
        <f>IF(AND(J12&gt;=0,J11&lt;0),A12-1+(-(J11))/I12,"")</f>
        <v/>
      </c>
    </row>
    <row r="13">
      <c r="A13">
        <v>12</v>
      </c>
      <c r="B13" s="4">
        <f>1</f>
        <v>1</v>
      </c>
      <c r="C13" s="2">
        <f>ROUND('Вводные'!$B$5*B13,0)</f>
        <v>80</v>
      </c>
      <c r="D13" s="2">
        <f>C13*'Вводные'!$B$6*'Вводные'!$B$2</f>
        <v>456000</v>
      </c>
      <c r="E13" s="2">
        <f>-(C13*'Вводные'!$B$6*'Вводные'!$B$3+ROUND(D13*'Вводные'!$B$4,0))</f>
        <v>-124320</v>
      </c>
      <c r="F13" s="2">
        <f>-ROUND(D13*'Вводные'!$B$16*(1-'Вводные'!$B$17),0)</f>
        <v>-13680</v>
      </c>
      <c r="G13" s="3">
        <f>-ROUND((MAX(0,SUM(D2:D13)-300000)-MAX(0,SUM(D2:D12)-300000))*0.01,2)</f>
        <v>-4560.0</v>
      </c>
      <c r="H13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3" s="9">
        <f>ROUND(SUM(D13:H13),2)</f>
        <v>104789.5</v>
      </c>
      <c r="J13" s="3">
        <f>J12+I13</f>
        <v>29915.0</v>
      </c>
      <c r="K13" s="8">
        <f>IF(AND(J13&gt;=0,J12&lt;0),A13-1+(-(J12))/I13,"")</f>
        <v>11.7145</v>
      </c>
    </row>
    <row r="14">
      <c r="A14">
        <v>13</v>
      </c>
      <c r="B14" s="4">
        <f>1</f>
        <v>1</v>
      </c>
      <c r="C14" s="2">
        <f>ROUND('Вводные'!$B$5*B14,0)</f>
        <v>80</v>
      </c>
      <c r="D14" s="2">
        <f>C14*'Вводные'!$B$6*'Вводные'!$B$2</f>
        <v>456000</v>
      </c>
      <c r="E14" s="2">
        <f>-(C14*'Вводные'!$B$6*'Вводные'!$B$3+ROUND(D14*'Вводные'!$B$4,0))</f>
        <v>-124320</v>
      </c>
      <c r="F14" s="2">
        <f>-ROUND(D14*'Вводные'!$B$16*(1-'Вводные'!$B$17),0)</f>
        <v>-13680</v>
      </c>
      <c r="G14" s="3">
        <f>-ROUND((MAX(0,SUM(D14:D14)-300000)-0)*0.01,2)</f>
        <v>-1560.0</v>
      </c>
      <c r="H14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4" s="9">
        <f>ROUND(SUM(D14:H14),2)</f>
        <v>107789.5</v>
      </c>
      <c r="J14" s="3">
        <f>J13+I14</f>
        <v>137704.5</v>
      </c>
      <c r="K14" s="8" t="str">
        <f>IF(AND(J14&gt;=0,J13&lt;0),A14-1+(-(J13))/I14,"")</f>
        <v/>
      </c>
    </row>
    <row r="15">
      <c r="A15">
        <v>14</v>
      </c>
      <c r="B15" s="4">
        <f>1</f>
        <v>1</v>
      </c>
      <c r="C15" s="2">
        <f>ROUND('Вводные'!$B$5*B15,0)</f>
        <v>80</v>
      </c>
      <c r="D15" s="2">
        <f>C15*'Вводные'!$B$6*'Вводные'!$B$2</f>
        <v>456000</v>
      </c>
      <c r="E15" s="2">
        <f>-(C15*'Вводные'!$B$6*'Вводные'!$B$3+ROUND(D15*'Вводные'!$B$4,0))</f>
        <v>-124320</v>
      </c>
      <c r="F15" s="2">
        <f>-ROUND(D15*'Вводные'!$B$16*(1-'Вводные'!$B$17),0)</f>
        <v>-13680</v>
      </c>
      <c r="G15" s="3">
        <f>-ROUND((MAX(0,SUM(D14:D15)-300000)-MAX(0,SUM(D14:D14)-300000))*0.01,2)</f>
        <v>-4560.0</v>
      </c>
      <c r="H15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5" s="9">
        <f>ROUND(SUM(D15:H15),2)</f>
        <v>104789.5</v>
      </c>
      <c r="J15" s="3">
        <f>J14+I15</f>
        <v>242494.0</v>
      </c>
      <c r="K15" s="8" t="str">
        <f>IF(AND(J15&gt;=0,J14&lt;0),A15-1+(-(J14))/I15,"")</f>
        <v/>
      </c>
    </row>
    <row r="16">
      <c r="A16">
        <v>15</v>
      </c>
      <c r="B16" s="4">
        <f>1</f>
        <v>1</v>
      </c>
      <c r="C16" s="2">
        <f>ROUND('Вводные'!$B$5*B16,0)</f>
        <v>80</v>
      </c>
      <c r="D16" s="2">
        <f>C16*'Вводные'!$B$6*'Вводные'!$B$2</f>
        <v>456000</v>
      </c>
      <c r="E16" s="2">
        <f>-(C16*'Вводные'!$B$6*'Вводные'!$B$3+ROUND(D16*'Вводные'!$B$4,0))</f>
        <v>-124320</v>
      </c>
      <c r="F16" s="2">
        <f>-ROUND(D16*'Вводные'!$B$16*(1-'Вводные'!$B$17),0)</f>
        <v>-13680</v>
      </c>
      <c r="G16" s="3">
        <f>-ROUND((MAX(0,SUM(D14:D16)-300000)-MAX(0,SUM(D14:D15)-300000))*0.01,2)</f>
        <v>-4560.0</v>
      </c>
      <c r="H16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6" s="9">
        <f>ROUND(SUM(D16:H16),2)</f>
        <v>104789.5</v>
      </c>
      <c r="J16" s="3">
        <f>J15+I16</f>
        <v>347283.5</v>
      </c>
      <c r="K16" s="8" t="str">
        <f>IF(AND(J16&gt;=0,J15&lt;0),A16-1+(-(J15))/I16,"")</f>
        <v/>
      </c>
    </row>
    <row r="17">
      <c r="A17">
        <v>16</v>
      </c>
      <c r="B17" s="4">
        <f>1</f>
        <v>1</v>
      </c>
      <c r="C17" s="2">
        <f>ROUND('Вводные'!$B$5*B17,0)</f>
        <v>80</v>
      </c>
      <c r="D17" s="2">
        <f>C17*'Вводные'!$B$6*'Вводные'!$B$2</f>
        <v>456000</v>
      </c>
      <c r="E17" s="2">
        <f>-(C17*'Вводные'!$B$6*'Вводные'!$B$3+ROUND(D17*'Вводные'!$B$4,0))</f>
        <v>-124320</v>
      </c>
      <c r="F17" s="2">
        <f>-ROUND(D17*'Вводные'!$B$16*(1-'Вводные'!$B$17),0)</f>
        <v>-13680</v>
      </c>
      <c r="G17" s="3">
        <f>-ROUND((MAX(0,SUM(D14:D17)-300000)-MAX(0,SUM(D14:D16)-300000))*0.01,2)</f>
        <v>-4560.0</v>
      </c>
      <c r="H17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7" s="9">
        <f>ROUND(SUM(D17:H17),2)</f>
        <v>104789.5</v>
      </c>
      <c r="J17" s="3">
        <f>J16+I17</f>
        <v>452073.0</v>
      </c>
      <c r="K17" s="8" t="str">
        <f>IF(AND(J17&gt;=0,J16&lt;0),A17-1+(-(J16))/I17,"")</f>
        <v/>
      </c>
    </row>
    <row r="18">
      <c r="A18">
        <v>17</v>
      </c>
      <c r="B18" s="4">
        <f>1</f>
        <v>1</v>
      </c>
      <c r="C18" s="2">
        <f>ROUND('Вводные'!$B$5*B18,0)</f>
        <v>80</v>
      </c>
      <c r="D18" s="2">
        <f>C18*'Вводные'!$B$6*'Вводные'!$B$2</f>
        <v>456000</v>
      </c>
      <c r="E18" s="2">
        <f>-(C18*'Вводные'!$B$6*'Вводные'!$B$3+ROUND(D18*'Вводные'!$B$4,0))</f>
        <v>-124320</v>
      </c>
      <c r="F18" s="2">
        <f>-ROUND(D18*'Вводные'!$B$16*(1-'Вводные'!$B$17),0)</f>
        <v>-13680</v>
      </c>
      <c r="G18" s="3">
        <f>-ROUND((MAX(0,SUM(D14:D18)-300000)-MAX(0,SUM(D14:D17)-300000))*0.01,2)</f>
        <v>-4560.0</v>
      </c>
      <c r="H18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8" s="9">
        <f>ROUND(SUM(D18:H18),2)</f>
        <v>104789.5</v>
      </c>
      <c r="J18" s="3">
        <f>J17+I18</f>
        <v>556862.5</v>
      </c>
      <c r="K18" s="8" t="str">
        <f>IF(AND(J18&gt;=0,J17&lt;0),A18-1+(-(J17))/I18,"")</f>
        <v/>
      </c>
    </row>
    <row r="19">
      <c r="A19">
        <v>18</v>
      </c>
      <c r="B19" s="4">
        <f>1</f>
        <v>1</v>
      </c>
      <c r="C19" s="2">
        <f>ROUND('Вводные'!$B$5*B19,0)</f>
        <v>80</v>
      </c>
      <c r="D19" s="2">
        <f>C19*'Вводные'!$B$6*'Вводные'!$B$2</f>
        <v>456000</v>
      </c>
      <c r="E19" s="2">
        <f>-(C19*'Вводные'!$B$6*'Вводные'!$B$3+ROUND(D19*'Вводные'!$B$4,0))</f>
        <v>-124320</v>
      </c>
      <c r="F19" s="2">
        <f>-ROUND(D19*'Вводные'!$B$16*(1-'Вводные'!$B$17),0)</f>
        <v>-13680</v>
      </c>
      <c r="G19" s="3">
        <f>-ROUND((MAX(0,SUM(D14:D19)-300000)-MAX(0,SUM(D14:D18)-300000))*0.01,2)</f>
        <v>-4560.0</v>
      </c>
      <c r="H19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19" s="9">
        <f>ROUND(SUM(D19:H19),2)</f>
        <v>104789.5</v>
      </c>
      <c r="J19" s="3">
        <f>J18+I19</f>
        <v>661652.0</v>
      </c>
      <c r="K19" s="8" t="str">
        <f>IF(AND(J19&gt;=0,J18&lt;0),A19-1+(-(J18))/I19,"")</f>
        <v/>
      </c>
    </row>
    <row r="20">
      <c r="A20">
        <v>19</v>
      </c>
      <c r="B20" s="4">
        <f>1</f>
        <v>1</v>
      </c>
      <c r="C20" s="2">
        <f>ROUND('Вводные'!$B$5*B20,0)</f>
        <v>80</v>
      </c>
      <c r="D20" s="2">
        <f>C20*'Вводные'!$B$6*'Вводные'!$B$2</f>
        <v>456000</v>
      </c>
      <c r="E20" s="2">
        <f>-(C20*'Вводные'!$B$6*'Вводные'!$B$3+ROUND(D20*'Вводные'!$B$4,0))</f>
        <v>-124320</v>
      </c>
      <c r="F20" s="2">
        <f>-ROUND(D20*'Вводные'!$B$16*(1-'Вводные'!$B$17),0)</f>
        <v>-13680</v>
      </c>
      <c r="G20" s="3">
        <f>-ROUND((MAX(0,SUM(D14:D20)-300000)-MAX(0,SUM(D14:D19)-300000))*0.01,2)</f>
        <v>-4560.0</v>
      </c>
      <c r="H20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0" s="9">
        <f>ROUND(SUM(D20:H20),2)</f>
        <v>104789.5</v>
      </c>
      <c r="J20" s="3">
        <f>J19+I20</f>
        <v>766441.5</v>
      </c>
      <c r="K20" s="8" t="str">
        <f>IF(AND(J20&gt;=0,J19&lt;0),A20-1+(-(J19))/I20,"")</f>
        <v/>
      </c>
    </row>
    <row r="21">
      <c r="A21">
        <v>20</v>
      </c>
      <c r="B21" s="4">
        <f>1</f>
        <v>1</v>
      </c>
      <c r="C21" s="2">
        <f>ROUND('Вводные'!$B$5*B21,0)</f>
        <v>80</v>
      </c>
      <c r="D21" s="2">
        <f>C21*'Вводные'!$B$6*'Вводные'!$B$2</f>
        <v>456000</v>
      </c>
      <c r="E21" s="2">
        <f>-(C21*'Вводные'!$B$6*'Вводные'!$B$3+ROUND(D21*'Вводные'!$B$4,0))</f>
        <v>-124320</v>
      </c>
      <c r="F21" s="2">
        <f>-ROUND(D21*'Вводные'!$B$16*(1-'Вводные'!$B$17),0)</f>
        <v>-13680</v>
      </c>
      <c r="G21" s="3">
        <f>-ROUND((MAX(0,SUM(D14:D21)-300000)-MAX(0,SUM(D14:D20)-300000))*0.01,2)</f>
        <v>-4560.0</v>
      </c>
      <c r="H21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1" s="9">
        <f>ROUND(SUM(D21:H21),2)</f>
        <v>104789.5</v>
      </c>
      <c r="J21" s="3">
        <f>J20+I21</f>
        <v>871231.0</v>
      </c>
      <c r="K21" s="8" t="str">
        <f>IF(AND(J21&gt;=0,J20&lt;0),A21-1+(-(J20))/I21,"")</f>
        <v/>
      </c>
    </row>
    <row r="22">
      <c r="A22">
        <v>21</v>
      </c>
      <c r="B22" s="4">
        <f>1</f>
        <v>1</v>
      </c>
      <c r="C22" s="2">
        <f>ROUND('Вводные'!$B$5*B22,0)</f>
        <v>80</v>
      </c>
      <c r="D22" s="2">
        <f>C22*'Вводные'!$B$6*'Вводные'!$B$2</f>
        <v>456000</v>
      </c>
      <c r="E22" s="2">
        <f>-(C22*'Вводные'!$B$6*'Вводные'!$B$3+ROUND(D22*'Вводные'!$B$4,0))</f>
        <v>-124320</v>
      </c>
      <c r="F22" s="2">
        <f>-ROUND(D22*'Вводные'!$B$16*(1-'Вводные'!$B$17),0)</f>
        <v>-13680</v>
      </c>
      <c r="G22" s="3">
        <f>-ROUND((MAX(0,SUM(D14:D22)-300000)-MAX(0,SUM(D14:D21)-300000))*0.01,2)</f>
        <v>-4560.0</v>
      </c>
      <c r="H22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2" s="9">
        <f>ROUND(SUM(D22:H22),2)</f>
        <v>104789.5</v>
      </c>
      <c r="J22" s="3">
        <f>J21+I22</f>
        <v>976020.5</v>
      </c>
      <c r="K22" s="8" t="str">
        <f>IF(AND(J22&gt;=0,J21&lt;0),A22-1+(-(J21))/I22,"")</f>
        <v/>
      </c>
    </row>
    <row r="23">
      <c r="A23">
        <v>22</v>
      </c>
      <c r="B23" s="4">
        <f>1</f>
        <v>1</v>
      </c>
      <c r="C23" s="2">
        <f>ROUND('Вводные'!$B$5*B23,0)</f>
        <v>80</v>
      </c>
      <c r="D23" s="2">
        <f>C23*'Вводные'!$B$6*'Вводные'!$B$2</f>
        <v>456000</v>
      </c>
      <c r="E23" s="2">
        <f>-(C23*'Вводные'!$B$6*'Вводные'!$B$3+ROUND(D23*'Вводные'!$B$4,0))</f>
        <v>-124320</v>
      </c>
      <c r="F23" s="2">
        <f>-ROUND(D23*'Вводные'!$B$16*(1-'Вводные'!$B$17),0)</f>
        <v>-13680</v>
      </c>
      <c r="G23" s="3">
        <f>-ROUND((MAX(0,SUM(D14:D23)-300000)-MAX(0,SUM(D14:D22)-300000))*0.01,2)</f>
        <v>-4560.0</v>
      </c>
      <c r="H23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3" s="9">
        <f>ROUND(SUM(D23:H23),2)</f>
        <v>104789.5</v>
      </c>
      <c r="J23" s="3">
        <f>J22+I23</f>
        <v>1080810.0</v>
      </c>
      <c r="K23" s="8" t="str">
        <f>IF(AND(J23&gt;=0,J22&lt;0),A23-1+(-(J22))/I23,"")</f>
        <v/>
      </c>
    </row>
    <row r="24">
      <c r="A24">
        <v>23</v>
      </c>
      <c r="B24" s="4">
        <f>1</f>
        <v>1</v>
      </c>
      <c r="C24" s="2">
        <f>ROUND('Вводные'!$B$5*B24,0)</f>
        <v>80</v>
      </c>
      <c r="D24" s="2">
        <f>C24*'Вводные'!$B$6*'Вводные'!$B$2</f>
        <v>456000</v>
      </c>
      <c r="E24" s="2">
        <f>-(C24*'Вводные'!$B$6*'Вводные'!$B$3+ROUND(D24*'Вводные'!$B$4,0))</f>
        <v>-124320</v>
      </c>
      <c r="F24" s="2">
        <f>-ROUND(D24*'Вводные'!$B$16*(1-'Вводные'!$B$17),0)</f>
        <v>-13680</v>
      </c>
      <c r="G24" s="3">
        <f>-ROUND((MAX(0,SUM(D14:D24)-300000)-MAX(0,SUM(D14:D23)-300000))*0.01,2)</f>
        <v>-4560.0</v>
      </c>
      <c r="H24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4" s="9">
        <f>ROUND(SUM(D24:H24),2)</f>
        <v>104789.5</v>
      </c>
      <c r="J24" s="3">
        <f>J23+I24</f>
        <v>1185599.5</v>
      </c>
      <c r="K24" s="8" t="str">
        <f>IF(AND(J24&gt;=0,J23&lt;0),A24-1+(-(J23))/I24,"")</f>
        <v/>
      </c>
    </row>
    <row r="25">
      <c r="A25">
        <v>24</v>
      </c>
      <c r="B25" s="4">
        <f>1</f>
        <v>1</v>
      </c>
      <c r="C25" s="2">
        <f>ROUND('Вводные'!$B$5*B25,0)</f>
        <v>80</v>
      </c>
      <c r="D25" s="2">
        <f>C25*'Вводные'!$B$6*'Вводные'!$B$2</f>
        <v>456000</v>
      </c>
      <c r="E25" s="2">
        <f>-(C25*'Вводные'!$B$6*'Вводные'!$B$3+ROUND(D25*'Вводные'!$B$4,0))</f>
        <v>-124320</v>
      </c>
      <c r="F25" s="2">
        <f>-ROUND(D25*'Вводные'!$B$16*(1-'Вводные'!$B$17),0)</f>
        <v>-13680</v>
      </c>
      <c r="G25" s="3">
        <f>-ROUND((MAX(0,SUM(D14:D25)-300000)-MAX(0,SUM(D14:D24)-300000))*0.01,2)</f>
        <v>-4560.0</v>
      </c>
      <c r="H25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5" s="9">
        <f>ROUND(SUM(D25:H25),2)</f>
        <v>104789.5</v>
      </c>
      <c r="J25" s="3">
        <f>J24+I25</f>
        <v>1290389.0</v>
      </c>
      <c r="K25" s="8" t="str">
        <f>IF(AND(J25&gt;=0,J24&lt;0),A25-1+(-(J24))/I25,"")</f>
        <v/>
      </c>
    </row>
    <row r="26">
      <c r="A26">
        <v>25</v>
      </c>
      <c r="B26" s="4">
        <f>1</f>
        <v>1</v>
      </c>
      <c r="C26" s="2">
        <f>ROUND('Вводные'!$B$5*B26,0)</f>
        <v>80</v>
      </c>
      <c r="D26" s="2">
        <f>C26*'Вводные'!$B$6*'Вводные'!$B$2</f>
        <v>456000</v>
      </c>
      <c r="E26" s="2">
        <f>-(C26*'Вводные'!$B$6*'Вводные'!$B$3+ROUND(D26*'Вводные'!$B$4,0))</f>
        <v>-124320</v>
      </c>
      <c r="F26" s="2">
        <f>-ROUND(D26*'Вводные'!$B$16*(1-'Вводные'!$B$17),0)</f>
        <v>-13680</v>
      </c>
      <c r="G26" s="3">
        <f>-ROUND((MAX(0,SUM(D26:D26)-300000)-0)*0.01,2)</f>
        <v>-1560.0</v>
      </c>
      <c r="H26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6" s="9">
        <f>ROUND(SUM(D26:H26),2)</f>
        <v>107789.5</v>
      </c>
      <c r="J26" s="3">
        <f>J25+I26</f>
        <v>1398178.5</v>
      </c>
      <c r="K26" s="8" t="str">
        <f>IF(AND(J26&gt;=0,J25&lt;0),A26-1+(-(J25))/I26,"")</f>
        <v/>
      </c>
    </row>
    <row r="27">
      <c r="A27">
        <v>26</v>
      </c>
      <c r="B27" s="4">
        <f>1</f>
        <v>1</v>
      </c>
      <c r="C27" s="2">
        <f>ROUND('Вводные'!$B$5*B27,0)</f>
        <v>80</v>
      </c>
      <c r="D27" s="2">
        <f>C27*'Вводные'!$B$6*'Вводные'!$B$2</f>
        <v>456000</v>
      </c>
      <c r="E27" s="2">
        <f>-(C27*'Вводные'!$B$6*'Вводные'!$B$3+ROUND(D27*'Вводные'!$B$4,0))</f>
        <v>-124320</v>
      </c>
      <c r="F27" s="2">
        <f>-ROUND(D27*'Вводные'!$B$16*(1-'Вводные'!$B$17),0)</f>
        <v>-13680</v>
      </c>
      <c r="G27" s="3">
        <f>-ROUND((MAX(0,SUM(D26:D27)-300000)-MAX(0,SUM(D26:D26)-300000))*0.01,2)</f>
        <v>-4560.0</v>
      </c>
      <c r="H27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7" s="9">
        <f>ROUND(SUM(D27:H27),2)</f>
        <v>104789.5</v>
      </c>
      <c r="J27" s="3">
        <f>J26+I27</f>
        <v>1502968.0</v>
      </c>
      <c r="K27" s="8" t="str">
        <f>IF(AND(J27&gt;=0,J26&lt;0),A27-1+(-(J26))/I27,"")</f>
        <v/>
      </c>
    </row>
    <row r="28">
      <c r="A28">
        <v>27</v>
      </c>
      <c r="B28" s="4">
        <f>1</f>
        <v>1</v>
      </c>
      <c r="C28" s="2">
        <f>ROUND('Вводные'!$B$5*B28,0)</f>
        <v>80</v>
      </c>
      <c r="D28" s="2">
        <f>C28*'Вводные'!$B$6*'Вводные'!$B$2</f>
        <v>456000</v>
      </c>
      <c r="E28" s="2">
        <f>-(C28*'Вводные'!$B$6*'Вводные'!$B$3+ROUND(D28*'Вводные'!$B$4,0))</f>
        <v>-124320</v>
      </c>
      <c r="F28" s="2">
        <f>-ROUND(D28*'Вводные'!$B$16*(1-'Вводные'!$B$17),0)</f>
        <v>-13680</v>
      </c>
      <c r="G28" s="3">
        <f>-ROUND((MAX(0,SUM(D26:D28)-300000)-MAX(0,SUM(D26:D27)-300000))*0.01,2)</f>
        <v>-4560.0</v>
      </c>
      <c r="H28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8" s="9">
        <f>ROUND(SUM(D28:H28),2)</f>
        <v>104789.5</v>
      </c>
      <c r="J28" s="3">
        <f>J27+I28</f>
        <v>1607757.5</v>
      </c>
      <c r="K28" s="8" t="str">
        <f>IF(AND(J28&gt;=0,J27&lt;0),A28-1+(-(J27))/I28,"")</f>
        <v/>
      </c>
    </row>
    <row r="29">
      <c r="A29">
        <v>28</v>
      </c>
      <c r="B29" s="4">
        <f>1</f>
        <v>1</v>
      </c>
      <c r="C29" s="2">
        <f>ROUND('Вводные'!$B$5*B29,0)</f>
        <v>80</v>
      </c>
      <c r="D29" s="2">
        <f>C29*'Вводные'!$B$6*'Вводные'!$B$2</f>
        <v>456000</v>
      </c>
      <c r="E29" s="2">
        <f>-(C29*'Вводные'!$B$6*'Вводные'!$B$3+ROUND(D29*'Вводные'!$B$4,0))</f>
        <v>-124320</v>
      </c>
      <c r="F29" s="2">
        <f>-ROUND(D29*'Вводные'!$B$16*(1-'Вводные'!$B$17),0)</f>
        <v>-13680</v>
      </c>
      <c r="G29" s="3">
        <f>-ROUND((MAX(0,SUM(D26:D29)-300000)-MAX(0,SUM(D26:D28)-300000))*0.01,2)</f>
        <v>-4560.0</v>
      </c>
      <c r="H29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29" s="9">
        <f>ROUND(SUM(D29:H29),2)</f>
        <v>104789.5</v>
      </c>
      <c r="J29" s="3">
        <f>J28+I29</f>
        <v>1712547.0</v>
      </c>
      <c r="K29" s="8" t="str">
        <f>IF(AND(J29&gt;=0,J28&lt;0),A29-1+(-(J28))/I29,"")</f>
        <v/>
      </c>
    </row>
    <row r="30">
      <c r="A30">
        <v>29</v>
      </c>
      <c r="B30" s="4">
        <f>1</f>
        <v>1</v>
      </c>
      <c r="C30" s="2">
        <f>ROUND('Вводные'!$B$5*B30,0)</f>
        <v>80</v>
      </c>
      <c r="D30" s="2">
        <f>C30*'Вводные'!$B$6*'Вводные'!$B$2</f>
        <v>456000</v>
      </c>
      <c r="E30" s="2">
        <f>-(C30*'Вводные'!$B$6*'Вводные'!$B$3+ROUND(D30*'Вводные'!$B$4,0))</f>
        <v>-124320</v>
      </c>
      <c r="F30" s="2">
        <f>-ROUND(D30*'Вводные'!$B$16*(1-'Вводные'!$B$17),0)</f>
        <v>-13680</v>
      </c>
      <c r="G30" s="3">
        <f>-ROUND((MAX(0,SUM(D26:D30)-300000)-MAX(0,SUM(D26:D29)-300000))*0.01,2)</f>
        <v>-4560.0</v>
      </c>
      <c r="H30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0" s="9">
        <f>ROUND(SUM(D30:H30),2)</f>
        <v>104789.5</v>
      </c>
      <c r="J30" s="3">
        <f>J29+I30</f>
        <v>1817336.5</v>
      </c>
      <c r="K30" s="8" t="str">
        <f>IF(AND(J30&gt;=0,J29&lt;0),A30-1+(-(J29))/I30,"")</f>
        <v/>
      </c>
    </row>
    <row r="31">
      <c r="A31">
        <v>30</v>
      </c>
      <c r="B31" s="4">
        <f>1</f>
        <v>1</v>
      </c>
      <c r="C31" s="2">
        <f>ROUND('Вводные'!$B$5*B31,0)</f>
        <v>80</v>
      </c>
      <c r="D31" s="2">
        <f>C31*'Вводные'!$B$6*'Вводные'!$B$2</f>
        <v>456000</v>
      </c>
      <c r="E31" s="2">
        <f>-(C31*'Вводные'!$B$6*'Вводные'!$B$3+ROUND(D31*'Вводные'!$B$4,0))</f>
        <v>-124320</v>
      </c>
      <c r="F31" s="2">
        <f>-ROUND(D31*'Вводные'!$B$16*(1-'Вводные'!$B$17),0)</f>
        <v>-13680</v>
      </c>
      <c r="G31" s="3">
        <f>-ROUND((MAX(0,SUM(D26:D31)-300000)-MAX(0,SUM(D26:D30)-300000))*0.01,2)</f>
        <v>-4560.0</v>
      </c>
      <c r="H31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1" s="9">
        <f>ROUND(SUM(D31:H31),2)</f>
        <v>104789.5</v>
      </c>
      <c r="J31" s="3">
        <f>J30+I31</f>
        <v>1922126.0</v>
      </c>
      <c r="K31" s="8" t="str">
        <f>IF(AND(J31&gt;=0,J30&lt;0),A31-1+(-(J30))/I31,"")</f>
        <v/>
      </c>
    </row>
    <row r="32">
      <c r="A32">
        <v>31</v>
      </c>
      <c r="B32" s="4">
        <f>1</f>
        <v>1</v>
      </c>
      <c r="C32" s="2">
        <f>ROUND('Вводные'!$B$5*B32,0)</f>
        <v>80</v>
      </c>
      <c r="D32" s="2">
        <f>C32*'Вводные'!$B$6*'Вводные'!$B$2</f>
        <v>456000</v>
      </c>
      <c r="E32" s="2">
        <f>-(C32*'Вводные'!$B$6*'Вводные'!$B$3+ROUND(D32*'Вводные'!$B$4,0))</f>
        <v>-124320</v>
      </c>
      <c r="F32" s="2">
        <f>-ROUND(D32*'Вводные'!$B$16*(1-'Вводные'!$B$17),0)</f>
        <v>-13680</v>
      </c>
      <c r="G32" s="3">
        <f>-ROUND((MAX(0,SUM(D26:D32)-300000)-MAX(0,SUM(D26:D31)-300000))*0.01,2)</f>
        <v>-4560.0</v>
      </c>
      <c r="H32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2" s="9">
        <f>ROUND(SUM(D32:H32),2)</f>
        <v>104789.5</v>
      </c>
      <c r="J32" s="3">
        <f>J31+I32</f>
        <v>2026915.5</v>
      </c>
      <c r="K32" s="8" t="str">
        <f>IF(AND(J32&gt;=0,J31&lt;0),A32-1+(-(J31))/I32,"")</f>
        <v/>
      </c>
    </row>
    <row r="33">
      <c r="A33">
        <v>32</v>
      </c>
      <c r="B33" s="4">
        <f>1</f>
        <v>1</v>
      </c>
      <c r="C33" s="2">
        <f>ROUND('Вводные'!$B$5*B33,0)</f>
        <v>80</v>
      </c>
      <c r="D33" s="2">
        <f>C33*'Вводные'!$B$6*'Вводные'!$B$2</f>
        <v>456000</v>
      </c>
      <c r="E33" s="2">
        <f>-(C33*'Вводные'!$B$6*'Вводные'!$B$3+ROUND(D33*'Вводные'!$B$4,0))</f>
        <v>-124320</v>
      </c>
      <c r="F33" s="2">
        <f>-ROUND(D33*'Вводные'!$B$16*(1-'Вводные'!$B$17),0)</f>
        <v>-13680</v>
      </c>
      <c r="G33" s="3">
        <f>-ROUND((MAX(0,SUM(D26:D33)-300000)-MAX(0,SUM(D26:D32)-300000))*0.01,2)</f>
        <v>-4560.0</v>
      </c>
      <c r="H33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3" s="9">
        <f>ROUND(SUM(D33:H33),2)</f>
        <v>104789.5</v>
      </c>
      <c r="J33" s="3">
        <f>J32+I33</f>
        <v>2131705.0</v>
      </c>
      <c r="K33" s="8" t="str">
        <f>IF(AND(J33&gt;=0,J32&lt;0),A33-1+(-(J32))/I33,"")</f>
        <v/>
      </c>
    </row>
    <row r="34">
      <c r="A34">
        <v>33</v>
      </c>
      <c r="B34" s="4">
        <f>1</f>
        <v>1</v>
      </c>
      <c r="C34" s="2">
        <f>ROUND('Вводные'!$B$5*B34,0)</f>
        <v>80</v>
      </c>
      <c r="D34" s="2">
        <f>C34*'Вводные'!$B$6*'Вводные'!$B$2</f>
        <v>456000</v>
      </c>
      <c r="E34" s="2">
        <f>-(C34*'Вводные'!$B$6*'Вводные'!$B$3+ROUND(D34*'Вводные'!$B$4,0))</f>
        <v>-124320</v>
      </c>
      <c r="F34" s="2">
        <f>-ROUND(D34*'Вводные'!$B$16*(1-'Вводные'!$B$17),0)</f>
        <v>-13680</v>
      </c>
      <c r="G34" s="3">
        <f>-ROUND((MAX(0,SUM(D26:D34)-300000)-MAX(0,SUM(D26:D33)-300000))*0.01,2)</f>
        <v>-4560.0</v>
      </c>
      <c r="H34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4" s="9">
        <f>ROUND(SUM(D34:H34),2)</f>
        <v>104789.5</v>
      </c>
      <c r="J34" s="3">
        <f>J33+I34</f>
        <v>2236494.5</v>
      </c>
      <c r="K34" s="8" t="str">
        <f>IF(AND(J34&gt;=0,J33&lt;0),A34-1+(-(J33))/I34,"")</f>
        <v/>
      </c>
    </row>
    <row r="35">
      <c r="A35">
        <v>34</v>
      </c>
      <c r="B35" s="4">
        <f>1</f>
        <v>1</v>
      </c>
      <c r="C35" s="2">
        <f>ROUND('Вводные'!$B$5*B35,0)</f>
        <v>80</v>
      </c>
      <c r="D35" s="2">
        <f>C35*'Вводные'!$B$6*'Вводные'!$B$2</f>
        <v>456000</v>
      </c>
      <c r="E35" s="2">
        <f>-(C35*'Вводные'!$B$6*'Вводные'!$B$3+ROUND(D35*'Вводные'!$B$4,0))</f>
        <v>-124320</v>
      </c>
      <c r="F35" s="2">
        <f>-ROUND(D35*'Вводные'!$B$16*(1-'Вводные'!$B$17),0)</f>
        <v>-13680</v>
      </c>
      <c r="G35" s="3">
        <f>-ROUND((MAX(0,SUM(D26:D35)-300000)-MAX(0,SUM(D26:D34)-300000))*0.01,2)</f>
        <v>-4560.0</v>
      </c>
      <c r="H35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5" s="9">
        <f>ROUND(SUM(D35:H35),2)</f>
        <v>104789.5</v>
      </c>
      <c r="J35" s="3">
        <f>J34+I35</f>
        <v>2341284.0</v>
      </c>
      <c r="K35" s="8" t="str">
        <f>IF(AND(J35&gt;=0,J34&lt;0),A35-1+(-(J34))/I35,"")</f>
        <v/>
      </c>
    </row>
    <row r="36">
      <c r="A36">
        <v>35</v>
      </c>
      <c r="B36" s="4">
        <f>1</f>
        <v>1</v>
      </c>
      <c r="C36" s="2">
        <f>ROUND('Вводные'!$B$5*B36,0)</f>
        <v>80</v>
      </c>
      <c r="D36" s="2">
        <f>C36*'Вводные'!$B$6*'Вводные'!$B$2</f>
        <v>456000</v>
      </c>
      <c r="E36" s="2">
        <f>-(C36*'Вводные'!$B$6*'Вводные'!$B$3+ROUND(D36*'Вводные'!$B$4,0))</f>
        <v>-124320</v>
      </c>
      <c r="F36" s="2">
        <f>-ROUND(D36*'Вводные'!$B$16*(1-'Вводные'!$B$17),0)</f>
        <v>-13680</v>
      </c>
      <c r="G36" s="3">
        <f>-ROUND((MAX(0,SUM(D26:D36)-300000)-MAX(0,SUM(D26:D35)-300000))*0.01,2)</f>
        <v>-4560.0</v>
      </c>
      <c r="H36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6" s="9">
        <f>ROUND(SUM(D36:H36),2)</f>
        <v>104789.5</v>
      </c>
      <c r="J36" s="3">
        <f>J35+I36</f>
        <v>2446073.5</v>
      </c>
      <c r="K36" s="8" t="str">
        <f>IF(AND(J36&gt;=0,J35&lt;0),A36-1+(-(J35))/I36,"")</f>
        <v/>
      </c>
    </row>
    <row r="37">
      <c r="A37">
        <v>36</v>
      </c>
      <c r="B37" s="4">
        <f>1</f>
        <v>1</v>
      </c>
      <c r="C37" s="2">
        <f>ROUND('Вводные'!$B$5*B37,0)</f>
        <v>80</v>
      </c>
      <c r="D37" s="2">
        <f>C37*'Вводные'!$B$6*'Вводные'!$B$2</f>
        <v>456000</v>
      </c>
      <c r="E37" s="2">
        <f>-(C37*'Вводные'!$B$6*'Вводные'!$B$3+ROUND(D37*'Вводные'!$B$4,0))</f>
        <v>-124320</v>
      </c>
      <c r="F37" s="2">
        <f>-ROUND(D37*'Вводные'!$B$16*(1-'Вводные'!$B$17),0)</f>
        <v>-13680</v>
      </c>
      <c r="G37" s="3">
        <f>-ROUND((MAX(0,SUM(D26:D37)-300000)-MAX(0,SUM(D26:D36)-300000))*0.01,2)</f>
        <v>-4560.0</v>
      </c>
      <c r="H37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7" s="9">
        <f>ROUND(SUM(D37:H37),2)</f>
        <v>104789.5</v>
      </c>
      <c r="J37" s="3">
        <f>J36+I37</f>
        <v>2550863.0</v>
      </c>
      <c r="K37" s="8" t="str">
        <f>IF(AND(J37&gt;=0,J36&lt;0),A37-1+(-(J36))/I37,"")</f>
        <v/>
      </c>
    </row>
    <row r="38">
      <c r="A38">
        <v>37</v>
      </c>
      <c r="B38" s="4">
        <f>1</f>
        <v>1</v>
      </c>
      <c r="C38" s="2">
        <f>ROUND('Вводные'!$B$5*B38,0)</f>
        <v>80</v>
      </c>
      <c r="D38" s="2">
        <f>C38*'Вводные'!$B$6*'Вводные'!$B$2</f>
        <v>456000</v>
      </c>
      <c r="E38" s="2">
        <f>-(C38*'Вводные'!$B$6*'Вводные'!$B$3+ROUND(D38*'Вводные'!$B$4,0))</f>
        <v>-124320</v>
      </c>
      <c r="F38" s="2">
        <f>-ROUND(D38*'Вводные'!$B$16*(1-'Вводные'!$B$17),0)</f>
        <v>-13680</v>
      </c>
      <c r="G38" s="3">
        <f>-ROUND((MAX(0,SUM(D38:D38)-300000)-0)*0.01,2)</f>
        <v>-1560.0</v>
      </c>
      <c r="H38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8" s="9">
        <f>ROUND(SUM(D38:H38),2)</f>
        <v>107789.5</v>
      </c>
      <c r="J38" s="3">
        <f>J37+I38</f>
        <v>2658652.5</v>
      </c>
      <c r="K38" s="8" t="str">
        <f>IF(AND(J38&gt;=0,J37&lt;0),A38-1+(-(J37))/I38,"")</f>
        <v/>
      </c>
    </row>
    <row r="39">
      <c r="A39">
        <v>38</v>
      </c>
      <c r="B39" s="4">
        <f>1</f>
        <v>1</v>
      </c>
      <c r="C39" s="2">
        <f>ROUND('Вводные'!$B$5*B39,0)</f>
        <v>80</v>
      </c>
      <c r="D39" s="2">
        <f>C39*'Вводные'!$B$6*'Вводные'!$B$2</f>
        <v>456000</v>
      </c>
      <c r="E39" s="2">
        <f>-(C39*'Вводные'!$B$6*'Вводные'!$B$3+ROUND(D39*'Вводные'!$B$4,0))</f>
        <v>-124320</v>
      </c>
      <c r="F39" s="2">
        <f>-ROUND(D39*'Вводные'!$B$16*(1-'Вводные'!$B$17),0)</f>
        <v>-13680</v>
      </c>
      <c r="G39" s="3">
        <f>-ROUND((MAX(0,SUM(D38:D39)-300000)-MAX(0,SUM(D38:D38)-300000))*0.01,2)</f>
        <v>-4560.0</v>
      </c>
      <c r="H39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39" s="9">
        <f>ROUND(SUM(D39:H39),2)</f>
        <v>104789.5</v>
      </c>
      <c r="J39" s="3">
        <f>J38+I39</f>
        <v>2763442.0</v>
      </c>
      <c r="K39" s="8" t="str">
        <f>IF(AND(J39&gt;=0,J38&lt;0),A39-1+(-(J38))/I39,"")</f>
        <v/>
      </c>
    </row>
    <row r="40">
      <c r="A40">
        <v>39</v>
      </c>
      <c r="B40" s="4">
        <f>1</f>
        <v>1</v>
      </c>
      <c r="C40" s="2">
        <f>ROUND('Вводные'!$B$5*B40,0)</f>
        <v>80</v>
      </c>
      <c r="D40" s="2">
        <f>C40*'Вводные'!$B$6*'Вводные'!$B$2</f>
        <v>456000</v>
      </c>
      <c r="E40" s="2">
        <f>-(C40*'Вводные'!$B$6*'Вводные'!$B$3+ROUND(D40*'Вводные'!$B$4,0))</f>
        <v>-124320</v>
      </c>
      <c r="F40" s="2">
        <f>-ROUND(D40*'Вводные'!$B$16*(1-'Вводные'!$B$17),0)</f>
        <v>-13680</v>
      </c>
      <c r="G40" s="3">
        <f>-ROUND((MAX(0,SUM(D38:D40)-300000)-MAX(0,SUM(D38:D39)-300000))*0.01,2)</f>
        <v>-4560.0</v>
      </c>
      <c r="H40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0" s="9">
        <f>ROUND(SUM(D40:H40),2)</f>
        <v>104789.5</v>
      </c>
      <c r="J40" s="3">
        <f>J39+I40</f>
        <v>2868231.5</v>
      </c>
      <c r="K40" s="8" t="str">
        <f>IF(AND(J40&gt;=0,J39&lt;0),A40-1+(-(J39))/I40,"")</f>
        <v/>
      </c>
    </row>
    <row r="41">
      <c r="A41">
        <v>40</v>
      </c>
      <c r="B41" s="4">
        <f>1</f>
        <v>1</v>
      </c>
      <c r="C41" s="2">
        <f>ROUND('Вводные'!$B$5*B41,0)</f>
        <v>80</v>
      </c>
      <c r="D41" s="2">
        <f>C41*'Вводные'!$B$6*'Вводные'!$B$2</f>
        <v>456000</v>
      </c>
      <c r="E41" s="2">
        <f>-(C41*'Вводные'!$B$6*'Вводные'!$B$3+ROUND(D41*'Вводные'!$B$4,0))</f>
        <v>-124320</v>
      </c>
      <c r="F41" s="2">
        <f>-ROUND(D41*'Вводные'!$B$16*(1-'Вводные'!$B$17),0)</f>
        <v>-13680</v>
      </c>
      <c r="G41" s="3">
        <f>-ROUND((MAX(0,SUM(D38:D41)-300000)-MAX(0,SUM(D38:D40)-300000))*0.01,2)</f>
        <v>-4560.0</v>
      </c>
      <c r="H41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1" s="9">
        <f>ROUND(SUM(D41:H41),2)</f>
        <v>104789.5</v>
      </c>
      <c r="J41" s="3">
        <f>J40+I41</f>
        <v>2973021.0</v>
      </c>
      <c r="K41" s="8" t="str">
        <f>IF(AND(J41&gt;=0,J40&lt;0),A41-1+(-(J40))/I41,"")</f>
        <v/>
      </c>
    </row>
    <row r="42">
      <c r="A42">
        <v>41</v>
      </c>
      <c r="B42" s="4">
        <f>1</f>
        <v>1</v>
      </c>
      <c r="C42" s="2">
        <f>ROUND('Вводные'!$B$5*B42,0)</f>
        <v>80</v>
      </c>
      <c r="D42" s="2">
        <f>C42*'Вводные'!$B$6*'Вводные'!$B$2</f>
        <v>456000</v>
      </c>
      <c r="E42" s="2">
        <f>-(C42*'Вводные'!$B$6*'Вводные'!$B$3+ROUND(D42*'Вводные'!$B$4,0))</f>
        <v>-124320</v>
      </c>
      <c r="F42" s="2">
        <f>-ROUND(D42*'Вводные'!$B$16*(1-'Вводные'!$B$17),0)</f>
        <v>-13680</v>
      </c>
      <c r="G42" s="3">
        <f>-ROUND((MAX(0,SUM(D38:D42)-300000)-MAX(0,SUM(D38:D41)-300000))*0.01,2)</f>
        <v>-4560.0</v>
      </c>
      <c r="H42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2" s="9">
        <f>ROUND(SUM(D42:H42),2)</f>
        <v>104789.5</v>
      </c>
      <c r="J42" s="3">
        <f>J41+I42</f>
        <v>3077810.5</v>
      </c>
      <c r="K42" s="8" t="str">
        <f>IF(AND(J42&gt;=0,J41&lt;0),A42-1+(-(J41))/I42,"")</f>
        <v/>
      </c>
    </row>
    <row r="43">
      <c r="A43">
        <v>42</v>
      </c>
      <c r="B43" s="4">
        <f>1</f>
        <v>1</v>
      </c>
      <c r="C43" s="2">
        <f>ROUND('Вводные'!$B$5*B43,0)</f>
        <v>80</v>
      </c>
      <c r="D43" s="2">
        <f>C43*'Вводные'!$B$6*'Вводные'!$B$2</f>
        <v>456000</v>
      </c>
      <c r="E43" s="2">
        <f>-(C43*'Вводные'!$B$6*'Вводные'!$B$3+ROUND(D43*'Вводные'!$B$4,0))</f>
        <v>-124320</v>
      </c>
      <c r="F43" s="2">
        <f>-ROUND(D43*'Вводные'!$B$16*(1-'Вводные'!$B$17),0)</f>
        <v>-13680</v>
      </c>
      <c r="G43" s="3">
        <f>-ROUND((MAX(0,SUM(D38:D43)-300000)-MAX(0,SUM(D38:D42)-300000))*0.01,2)</f>
        <v>-4560.0</v>
      </c>
      <c r="H43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3" s="9">
        <f>ROUND(SUM(D43:H43),2)</f>
        <v>104789.5</v>
      </c>
      <c r="J43" s="3">
        <f>J42+I43</f>
        <v>3182600.0</v>
      </c>
      <c r="K43" s="8" t="str">
        <f>IF(AND(J43&gt;=0,J42&lt;0),A43-1+(-(J42))/I43,"")</f>
        <v/>
      </c>
    </row>
    <row r="44">
      <c r="A44">
        <v>43</v>
      </c>
      <c r="B44" s="4">
        <f>1</f>
        <v>1</v>
      </c>
      <c r="C44" s="2">
        <f>ROUND('Вводные'!$B$5*B44,0)</f>
        <v>80</v>
      </c>
      <c r="D44" s="2">
        <f>C44*'Вводные'!$B$6*'Вводные'!$B$2</f>
        <v>456000</v>
      </c>
      <c r="E44" s="2">
        <f>-(C44*'Вводные'!$B$6*'Вводные'!$B$3+ROUND(D44*'Вводные'!$B$4,0))</f>
        <v>-124320</v>
      </c>
      <c r="F44" s="2">
        <f>-ROUND(D44*'Вводные'!$B$16*(1-'Вводные'!$B$17),0)</f>
        <v>-13680</v>
      </c>
      <c r="G44" s="3">
        <f>-ROUND((MAX(0,SUM(D38:D44)-300000)-MAX(0,SUM(D38:D43)-300000))*0.01,2)</f>
        <v>-4560.0</v>
      </c>
      <c r="H44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4" s="9">
        <f>ROUND(SUM(D44:H44),2)</f>
        <v>104789.5</v>
      </c>
      <c r="J44" s="3">
        <f>J43+I44</f>
        <v>3287389.5</v>
      </c>
      <c r="K44" s="8" t="str">
        <f>IF(AND(J44&gt;=0,J43&lt;0),A44-1+(-(J43))/I44,"")</f>
        <v/>
      </c>
    </row>
    <row r="45">
      <c r="A45">
        <v>44</v>
      </c>
      <c r="B45" s="4">
        <f>1</f>
        <v>1</v>
      </c>
      <c r="C45" s="2">
        <f>ROUND('Вводные'!$B$5*B45,0)</f>
        <v>80</v>
      </c>
      <c r="D45" s="2">
        <f>C45*'Вводные'!$B$6*'Вводные'!$B$2</f>
        <v>456000</v>
      </c>
      <c r="E45" s="2">
        <f>-(C45*'Вводные'!$B$6*'Вводные'!$B$3+ROUND(D45*'Вводные'!$B$4,0))</f>
        <v>-124320</v>
      </c>
      <c r="F45" s="2">
        <f>-ROUND(D45*'Вводные'!$B$16*(1-'Вводные'!$B$17),0)</f>
        <v>-13680</v>
      </c>
      <c r="G45" s="3">
        <f>-ROUND((MAX(0,SUM(D38:D45)-300000)-MAX(0,SUM(D38:D44)-300000))*0.01,2)</f>
        <v>-4560.0</v>
      </c>
      <c r="H45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5" s="9">
        <f>ROUND(SUM(D45:H45),2)</f>
        <v>104789.5</v>
      </c>
      <c r="J45" s="3">
        <f>J44+I45</f>
        <v>3392179.0</v>
      </c>
      <c r="K45" s="8" t="str">
        <f>IF(AND(J45&gt;=0,J44&lt;0),A45-1+(-(J44))/I45,"")</f>
        <v/>
      </c>
    </row>
    <row r="46">
      <c r="A46">
        <v>45</v>
      </c>
      <c r="B46" s="4">
        <f>1</f>
        <v>1</v>
      </c>
      <c r="C46" s="2">
        <f>ROUND('Вводные'!$B$5*B46,0)</f>
        <v>80</v>
      </c>
      <c r="D46" s="2">
        <f>C46*'Вводные'!$B$6*'Вводные'!$B$2</f>
        <v>456000</v>
      </c>
      <c r="E46" s="2">
        <f>-(C46*'Вводные'!$B$6*'Вводные'!$B$3+ROUND(D46*'Вводные'!$B$4,0))</f>
        <v>-124320</v>
      </c>
      <c r="F46" s="2">
        <f>-ROUND(D46*'Вводные'!$B$16*(1-'Вводные'!$B$17),0)</f>
        <v>-13680</v>
      </c>
      <c r="G46" s="3">
        <f>-ROUND((MAX(0,SUM(D38:D46)-300000)-MAX(0,SUM(D38:D45)-300000))*0.01,2)</f>
        <v>-4560.0</v>
      </c>
      <c r="H46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6" s="9">
        <f>ROUND(SUM(D46:H46),2)</f>
        <v>104789.5</v>
      </c>
      <c r="J46" s="3">
        <f>J45+I46</f>
        <v>3496968.5</v>
      </c>
      <c r="K46" s="8" t="str">
        <f>IF(AND(J46&gt;=0,J45&lt;0),A46-1+(-(J45))/I46,"")</f>
        <v/>
      </c>
    </row>
    <row r="47">
      <c r="A47">
        <v>46</v>
      </c>
      <c r="B47" s="4">
        <f>1</f>
        <v>1</v>
      </c>
      <c r="C47" s="2">
        <f>ROUND('Вводные'!$B$5*B47,0)</f>
        <v>80</v>
      </c>
      <c r="D47" s="2">
        <f>C47*'Вводные'!$B$6*'Вводные'!$B$2</f>
        <v>456000</v>
      </c>
      <c r="E47" s="2">
        <f>-(C47*'Вводные'!$B$6*'Вводные'!$B$3+ROUND(D47*'Вводные'!$B$4,0))</f>
        <v>-124320</v>
      </c>
      <c r="F47" s="2">
        <f>-ROUND(D47*'Вводные'!$B$16*(1-'Вводные'!$B$17),0)</f>
        <v>-13680</v>
      </c>
      <c r="G47" s="3">
        <f>-ROUND((MAX(0,SUM(D38:D47)-300000)-MAX(0,SUM(D38:D46)-300000))*0.01,2)</f>
        <v>-4560.0</v>
      </c>
      <c r="H47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7" s="9">
        <f>ROUND(SUM(D47:H47),2)</f>
        <v>104789.5</v>
      </c>
      <c r="J47" s="3">
        <f>J46+I47</f>
        <v>3601758.0</v>
      </c>
      <c r="K47" s="8" t="str">
        <f>IF(AND(J47&gt;=0,J46&lt;0),A47-1+(-(J46))/I47,"")</f>
        <v/>
      </c>
    </row>
    <row r="48">
      <c r="A48">
        <v>47</v>
      </c>
      <c r="B48" s="4">
        <f>1</f>
        <v>1</v>
      </c>
      <c r="C48" s="2">
        <f>ROUND('Вводные'!$B$5*B48,0)</f>
        <v>80</v>
      </c>
      <c r="D48" s="2">
        <f>C48*'Вводные'!$B$6*'Вводные'!$B$2</f>
        <v>456000</v>
      </c>
      <c r="E48" s="2">
        <f>-(C48*'Вводные'!$B$6*'Вводные'!$B$3+ROUND(D48*'Вводные'!$B$4,0))</f>
        <v>-124320</v>
      </c>
      <c r="F48" s="2">
        <f>-ROUND(D48*'Вводные'!$B$16*(1-'Вводные'!$B$17),0)</f>
        <v>-13680</v>
      </c>
      <c r="G48" s="3">
        <f>-ROUND((MAX(0,SUM(D38:D48)-300000)-MAX(0,SUM(D38:D47)-300000))*0.01,2)</f>
        <v>-4560.0</v>
      </c>
      <c r="H48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8" s="9">
        <f>ROUND(SUM(D48:H48),2)</f>
        <v>104789.5</v>
      </c>
      <c r="J48" s="3">
        <f>J47+I48</f>
        <v>3706547.5</v>
      </c>
      <c r="K48" s="8" t="str">
        <f>IF(AND(J48&gt;=0,J47&lt;0),A48-1+(-(J47))/I48,"")</f>
        <v/>
      </c>
    </row>
    <row r="49">
      <c r="A49">
        <v>48</v>
      </c>
      <c r="B49" s="4">
        <f>1</f>
        <v>1</v>
      </c>
      <c r="C49" s="2">
        <f>ROUND('Вводные'!$B$5*B49,0)</f>
        <v>80</v>
      </c>
      <c r="D49" s="2">
        <f>C49*'Вводные'!$B$6*'Вводные'!$B$2</f>
        <v>456000</v>
      </c>
      <c r="E49" s="2">
        <f>-(C49*'Вводные'!$B$6*'Вводные'!$B$3+ROUND(D49*'Вводные'!$B$4,0))</f>
        <v>-124320</v>
      </c>
      <c r="F49" s="2">
        <f>-ROUND(D49*'Вводные'!$B$16*(1-'Вводные'!$B$17),0)</f>
        <v>-13680</v>
      </c>
      <c r="G49" s="3">
        <f>-ROUND((MAX(0,SUM(D38:D49)-300000)-MAX(0,SUM(D38:D48)-300000))*0.01,2)</f>
        <v>-4560.0</v>
      </c>
      <c r="H49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49" s="9">
        <f>ROUND(SUM(D49:H49),2)</f>
        <v>104789.5</v>
      </c>
      <c r="J49" s="3">
        <f>J48+I49</f>
        <v>3811337.0</v>
      </c>
      <c r="K49" s="8" t="str">
        <f>IF(AND(J49&gt;=0,J48&lt;0),A49-1+(-(J48))/I49,"")</f>
        <v/>
      </c>
    </row>
    <row r="50">
      <c r="A50">
        <v>49</v>
      </c>
      <c r="B50" s="4">
        <f>1</f>
        <v>1</v>
      </c>
      <c r="C50" s="2">
        <f>ROUND('Вводные'!$B$5*B50,0)</f>
        <v>80</v>
      </c>
      <c r="D50" s="2">
        <f>C50*'Вводные'!$B$6*'Вводные'!$B$2</f>
        <v>456000</v>
      </c>
      <c r="E50" s="2">
        <f>-(C50*'Вводные'!$B$6*'Вводные'!$B$3+ROUND(D50*'Вводные'!$B$4,0))</f>
        <v>-124320</v>
      </c>
      <c r="F50" s="2">
        <f>-ROUND(D50*'Вводные'!$B$16*(1-'Вводные'!$B$17),0)</f>
        <v>-13680</v>
      </c>
      <c r="G50" s="3">
        <f>-ROUND((MAX(0,SUM(D50:D50)-300000)-0)*0.01,2)</f>
        <v>-1560.0</v>
      </c>
      <c r="H50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0" s="9">
        <f>ROUND(SUM(D50:H50),2)</f>
        <v>107789.5</v>
      </c>
      <c r="J50" s="3">
        <f>J49+I50</f>
        <v>3919126.5</v>
      </c>
      <c r="K50" s="8" t="str">
        <f>IF(AND(J50&gt;=0,J49&lt;0),A50-1+(-(J49))/I50,"")</f>
        <v/>
      </c>
    </row>
    <row r="51">
      <c r="A51">
        <v>50</v>
      </c>
      <c r="B51" s="4">
        <f>1</f>
        <v>1</v>
      </c>
      <c r="C51" s="2">
        <f>ROUND('Вводные'!$B$5*B51,0)</f>
        <v>80</v>
      </c>
      <c r="D51" s="2">
        <f>C51*'Вводные'!$B$6*'Вводные'!$B$2</f>
        <v>456000</v>
      </c>
      <c r="E51" s="2">
        <f>-(C51*'Вводные'!$B$6*'Вводные'!$B$3+ROUND(D51*'Вводные'!$B$4,0))</f>
        <v>-124320</v>
      </c>
      <c r="F51" s="2">
        <f>-ROUND(D51*'Вводные'!$B$16*(1-'Вводные'!$B$17),0)</f>
        <v>-13680</v>
      </c>
      <c r="G51" s="3">
        <f>-ROUND((MAX(0,SUM(D50:D51)-300000)-MAX(0,SUM(D50:D50)-300000))*0.01,2)</f>
        <v>-4560.0</v>
      </c>
      <c r="H51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1" s="9">
        <f>ROUND(SUM(D51:H51),2)</f>
        <v>104789.5</v>
      </c>
      <c r="J51" s="3">
        <f>J50+I51</f>
        <v>4023916.0</v>
      </c>
      <c r="K51" s="8" t="str">
        <f>IF(AND(J51&gt;=0,J50&lt;0),A51-1+(-(J50))/I51,"")</f>
        <v/>
      </c>
    </row>
    <row r="52">
      <c r="A52">
        <v>51</v>
      </c>
      <c r="B52" s="4">
        <f>1</f>
        <v>1</v>
      </c>
      <c r="C52" s="2">
        <f>ROUND('Вводные'!$B$5*B52,0)</f>
        <v>80</v>
      </c>
      <c r="D52" s="2">
        <f>C52*'Вводные'!$B$6*'Вводные'!$B$2</f>
        <v>456000</v>
      </c>
      <c r="E52" s="2">
        <f>-(C52*'Вводные'!$B$6*'Вводные'!$B$3+ROUND(D52*'Вводные'!$B$4,0))</f>
        <v>-124320</v>
      </c>
      <c r="F52" s="2">
        <f>-ROUND(D52*'Вводные'!$B$16*(1-'Вводные'!$B$17),0)</f>
        <v>-13680</v>
      </c>
      <c r="G52" s="3">
        <f>-ROUND((MAX(0,SUM(D50:D52)-300000)-MAX(0,SUM(D50:D51)-300000))*0.01,2)</f>
        <v>-4560.0</v>
      </c>
      <c r="H52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2" s="9">
        <f>ROUND(SUM(D52:H52),2)</f>
        <v>104789.5</v>
      </c>
      <c r="J52" s="3">
        <f>J51+I52</f>
        <v>4128705.5</v>
      </c>
      <c r="K52" s="8" t="str">
        <f>IF(AND(J52&gt;=0,J51&lt;0),A52-1+(-(J51))/I52,"")</f>
        <v/>
      </c>
    </row>
    <row r="53">
      <c r="A53">
        <v>52</v>
      </c>
      <c r="B53" s="4">
        <f>1</f>
        <v>1</v>
      </c>
      <c r="C53" s="2">
        <f>ROUND('Вводные'!$B$5*B53,0)</f>
        <v>80</v>
      </c>
      <c r="D53" s="2">
        <f>C53*'Вводные'!$B$6*'Вводные'!$B$2</f>
        <v>456000</v>
      </c>
      <c r="E53" s="2">
        <f>-(C53*'Вводные'!$B$6*'Вводные'!$B$3+ROUND(D53*'Вводные'!$B$4,0))</f>
        <v>-124320</v>
      </c>
      <c r="F53" s="2">
        <f>-ROUND(D53*'Вводные'!$B$16*(1-'Вводные'!$B$17),0)</f>
        <v>-13680</v>
      </c>
      <c r="G53" s="3">
        <f>-ROUND((MAX(0,SUM(D50:D53)-300000)-MAX(0,SUM(D50:D52)-300000))*0.01,2)</f>
        <v>-4560.0</v>
      </c>
      <c r="H53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3" s="9">
        <f>ROUND(SUM(D53:H53),2)</f>
        <v>104789.5</v>
      </c>
      <c r="J53" s="3">
        <f>J52+I53</f>
        <v>4233495.0</v>
      </c>
      <c r="K53" s="8" t="str">
        <f>IF(AND(J53&gt;=0,J52&lt;0),A53-1+(-(J52))/I53,"")</f>
        <v/>
      </c>
    </row>
    <row r="54">
      <c r="A54">
        <v>53</v>
      </c>
      <c r="B54" s="4">
        <f>1</f>
        <v>1</v>
      </c>
      <c r="C54" s="2">
        <f>ROUND('Вводные'!$B$5*B54,0)</f>
        <v>80</v>
      </c>
      <c r="D54" s="2">
        <f>C54*'Вводные'!$B$6*'Вводные'!$B$2</f>
        <v>456000</v>
      </c>
      <c r="E54" s="2">
        <f>-(C54*'Вводные'!$B$6*'Вводные'!$B$3+ROUND(D54*'Вводные'!$B$4,0))</f>
        <v>-124320</v>
      </c>
      <c r="F54" s="2">
        <f>-ROUND(D54*'Вводные'!$B$16*(1-'Вводные'!$B$17),0)</f>
        <v>-13680</v>
      </c>
      <c r="G54" s="3">
        <f>-ROUND((MAX(0,SUM(D50:D54)-300000)-MAX(0,SUM(D50:D53)-300000))*0.01,2)</f>
        <v>-4560.0</v>
      </c>
      <c r="H54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4" s="9">
        <f>ROUND(SUM(D54:H54),2)</f>
        <v>104789.5</v>
      </c>
      <c r="J54" s="3">
        <f>J53+I54</f>
        <v>4338284.5</v>
      </c>
      <c r="K54" s="8" t="str">
        <f>IF(AND(J54&gt;=0,J53&lt;0),A54-1+(-(J53))/I54,"")</f>
        <v/>
      </c>
    </row>
    <row r="55">
      <c r="A55">
        <v>54</v>
      </c>
      <c r="B55" s="4">
        <f>1</f>
        <v>1</v>
      </c>
      <c r="C55" s="2">
        <f>ROUND('Вводные'!$B$5*B55,0)</f>
        <v>80</v>
      </c>
      <c r="D55" s="2">
        <f>C55*'Вводные'!$B$6*'Вводные'!$B$2</f>
        <v>456000</v>
      </c>
      <c r="E55" s="2">
        <f>-(C55*'Вводные'!$B$6*'Вводные'!$B$3+ROUND(D55*'Вводные'!$B$4,0))</f>
        <v>-124320</v>
      </c>
      <c r="F55" s="2">
        <f>-ROUND(D55*'Вводные'!$B$16*(1-'Вводные'!$B$17),0)</f>
        <v>-13680</v>
      </c>
      <c r="G55" s="3">
        <f>-ROUND((MAX(0,SUM(D50:D55)-300000)-MAX(0,SUM(D50:D54)-300000))*0.01,2)</f>
        <v>-4560.0</v>
      </c>
      <c r="H55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5" s="9">
        <f>ROUND(SUM(D55:H55),2)</f>
        <v>104789.5</v>
      </c>
      <c r="J55" s="3">
        <f>J54+I55</f>
        <v>4443074.0</v>
      </c>
      <c r="K55" s="8" t="str">
        <f>IF(AND(J55&gt;=0,J54&lt;0),A55-1+(-(J54))/I55,"")</f>
        <v/>
      </c>
    </row>
    <row r="56">
      <c r="A56">
        <v>55</v>
      </c>
      <c r="B56" s="4">
        <f>1</f>
        <v>1</v>
      </c>
      <c r="C56" s="2">
        <f>ROUND('Вводные'!$B$5*B56,0)</f>
        <v>80</v>
      </c>
      <c r="D56" s="2">
        <f>C56*'Вводные'!$B$6*'Вводные'!$B$2</f>
        <v>456000</v>
      </c>
      <c r="E56" s="2">
        <f>-(C56*'Вводные'!$B$6*'Вводные'!$B$3+ROUND(D56*'Вводные'!$B$4,0))</f>
        <v>-124320</v>
      </c>
      <c r="F56" s="2">
        <f>-ROUND(D56*'Вводные'!$B$16*(1-'Вводные'!$B$17),0)</f>
        <v>-13680</v>
      </c>
      <c r="G56" s="3">
        <f>-ROUND((MAX(0,SUM(D50:D56)-300000)-MAX(0,SUM(D50:D55)-300000))*0.01,2)</f>
        <v>-4560.0</v>
      </c>
      <c r="H56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6" s="9">
        <f>ROUND(SUM(D56:H56),2)</f>
        <v>104789.5</v>
      </c>
      <c r="J56" s="3">
        <f>J55+I56</f>
        <v>4547863.5</v>
      </c>
      <c r="K56" s="8" t="str">
        <f>IF(AND(J56&gt;=0,J55&lt;0),A56-1+(-(J55))/I56,"")</f>
        <v/>
      </c>
    </row>
    <row r="57">
      <c r="A57">
        <v>56</v>
      </c>
      <c r="B57" s="4">
        <f>1</f>
        <v>1</v>
      </c>
      <c r="C57" s="2">
        <f>ROUND('Вводные'!$B$5*B57,0)</f>
        <v>80</v>
      </c>
      <c r="D57" s="2">
        <f>C57*'Вводные'!$B$6*'Вводные'!$B$2</f>
        <v>456000</v>
      </c>
      <c r="E57" s="2">
        <f>-(C57*'Вводные'!$B$6*'Вводные'!$B$3+ROUND(D57*'Вводные'!$B$4,0))</f>
        <v>-124320</v>
      </c>
      <c r="F57" s="2">
        <f>-ROUND(D57*'Вводные'!$B$16*(1-'Вводные'!$B$17),0)</f>
        <v>-13680</v>
      </c>
      <c r="G57" s="3">
        <f>-ROUND((MAX(0,SUM(D50:D57)-300000)-MAX(0,SUM(D50:D56)-300000))*0.01,2)</f>
        <v>-4560.0</v>
      </c>
      <c r="H57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7" s="9">
        <f>ROUND(SUM(D57:H57),2)</f>
        <v>104789.5</v>
      </c>
      <c r="J57" s="3">
        <f>J56+I57</f>
        <v>4652653.0</v>
      </c>
      <c r="K57" s="8" t="str">
        <f>IF(AND(J57&gt;=0,J56&lt;0),A57-1+(-(J56))/I57,"")</f>
        <v/>
      </c>
    </row>
    <row r="58">
      <c r="A58">
        <v>57</v>
      </c>
      <c r="B58" s="4">
        <f>1</f>
        <v>1</v>
      </c>
      <c r="C58" s="2">
        <f>ROUND('Вводные'!$B$5*B58,0)</f>
        <v>80</v>
      </c>
      <c r="D58" s="2">
        <f>C58*'Вводные'!$B$6*'Вводные'!$B$2</f>
        <v>456000</v>
      </c>
      <c r="E58" s="2">
        <f>-(C58*'Вводные'!$B$6*'Вводные'!$B$3+ROUND(D58*'Вводные'!$B$4,0))</f>
        <v>-124320</v>
      </c>
      <c r="F58" s="2">
        <f>-ROUND(D58*'Вводные'!$B$16*(1-'Вводные'!$B$17),0)</f>
        <v>-13680</v>
      </c>
      <c r="G58" s="3">
        <f>-ROUND((MAX(0,SUM(D50:D58)-300000)-MAX(0,SUM(D50:D57)-300000))*0.01,2)</f>
        <v>-4560.0</v>
      </c>
      <c r="H58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8" s="9">
        <f>ROUND(SUM(D58:H58),2)</f>
        <v>104789.5</v>
      </c>
      <c r="J58" s="3">
        <f>J57+I58</f>
        <v>4757442.5</v>
      </c>
      <c r="K58" s="8" t="str">
        <f>IF(AND(J58&gt;=0,J57&lt;0),A58-1+(-(J57))/I58,"")</f>
        <v/>
      </c>
    </row>
    <row r="59">
      <c r="A59">
        <v>58</v>
      </c>
      <c r="B59" s="4">
        <f>1</f>
        <v>1</v>
      </c>
      <c r="C59" s="2">
        <f>ROUND('Вводные'!$B$5*B59,0)</f>
        <v>80</v>
      </c>
      <c r="D59" s="2">
        <f>C59*'Вводные'!$B$6*'Вводные'!$B$2</f>
        <v>456000</v>
      </c>
      <c r="E59" s="2">
        <f>-(C59*'Вводные'!$B$6*'Вводные'!$B$3+ROUND(D59*'Вводные'!$B$4,0))</f>
        <v>-124320</v>
      </c>
      <c r="F59" s="2">
        <f>-ROUND(D59*'Вводные'!$B$16*(1-'Вводные'!$B$17),0)</f>
        <v>-13680</v>
      </c>
      <c r="G59" s="3">
        <f>-ROUND((MAX(0,SUM(D50:D59)-300000)-MAX(0,SUM(D50:D58)-300000))*0.01,2)</f>
        <v>-4560.0</v>
      </c>
      <c r="H59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59" s="9">
        <f>ROUND(SUM(D59:H59),2)</f>
        <v>104789.5</v>
      </c>
      <c r="J59" s="3">
        <f>J58+I59</f>
        <v>4862232.0</v>
      </c>
      <c r="K59" s="8" t="str">
        <f>IF(AND(J59&gt;=0,J58&lt;0),A59-1+(-(J58))/I59,"")</f>
        <v/>
      </c>
    </row>
    <row r="60">
      <c r="A60">
        <v>59</v>
      </c>
      <c r="B60" s="4">
        <f>1</f>
        <v>1</v>
      </c>
      <c r="C60" s="2">
        <f>ROUND('Вводные'!$B$5*B60,0)</f>
        <v>80</v>
      </c>
      <c r="D60" s="2">
        <f>C60*'Вводные'!$B$6*'Вводные'!$B$2</f>
        <v>456000</v>
      </c>
      <c r="E60" s="2">
        <f>-(C60*'Вводные'!$B$6*'Вводные'!$B$3+ROUND(D60*'Вводные'!$B$4,0))</f>
        <v>-124320</v>
      </c>
      <c r="F60" s="2">
        <f>-ROUND(D60*'Вводные'!$B$16*(1-'Вводные'!$B$17),0)</f>
        <v>-13680</v>
      </c>
      <c r="G60" s="3">
        <f>-ROUND((MAX(0,SUM(D50:D60)-300000)-MAX(0,SUM(D50:D59)-300000))*0.01,2)</f>
        <v>-4560.0</v>
      </c>
      <c r="H60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60" s="9">
        <f>ROUND(SUM(D60:H60),2)</f>
        <v>104789.5</v>
      </c>
      <c r="J60" s="3">
        <f>J59+I60</f>
        <v>4967021.5</v>
      </c>
      <c r="K60" s="8" t="str">
        <f>IF(AND(J60&gt;=0,J59&lt;0),A60-1+(-(J59))/I60,"")</f>
        <v/>
      </c>
    </row>
    <row r="61">
      <c r="A61">
        <v>60</v>
      </c>
      <c r="B61" s="4">
        <f>1</f>
        <v>1</v>
      </c>
      <c r="C61" s="2">
        <f>ROUND('Вводные'!$B$5*B61,0)</f>
        <v>80</v>
      </c>
      <c r="D61" s="2">
        <f>C61*'Вводные'!$B$6*'Вводные'!$B$2</f>
        <v>456000</v>
      </c>
      <c r="E61" s="2">
        <f>-(C61*'Вводные'!$B$6*'Вводные'!$B$3+ROUND(D61*'Вводные'!$B$4,0))</f>
        <v>-124320</v>
      </c>
      <c r="F61" s="2">
        <f>-ROUND(D61*'Вводные'!$B$16*(1-'Вводные'!$B$17),0)</f>
        <v>-13680</v>
      </c>
      <c r="G61" s="3">
        <f>-ROUND((MAX(0,SUM(D50:D61)-300000)-MAX(0,SUM(D50:D60)-300000))*0.01,2)</f>
        <v>-4560.0</v>
      </c>
      <c r="H61" s="3">
        <f>-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</f>
        <v>-208650.5</v>
      </c>
      <c r="I61" s="9">
        <f>ROUND(SUM(D61:H61),2)</f>
        <v>104789.5</v>
      </c>
      <c r="J61" s="3">
        <f>J60+I61</f>
        <v>5071811.0</v>
      </c>
      <c r="K61" s="8" t="str">
        <f>IF(AND(J61&gt;=0,J60&lt;0),A61-1+(-(J60))/I61,"")</f>
        <v/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52" customWidth="1"/>
    <col min="2" max="2" width="16" customWidth="1"/>
    <col min="3" max="3" width="60" customWidth="1"/>
  </cols>
  <sheetData>
    <row r="1">
      <c r="A1" s="1" t="inlineStr">
        <is>
          <t xml:space="preserve">Итог</t>
        </is>
      </c>
      <c r="B1" s="1" t="inlineStr">
        <is>
          <t xml:space="preserve">Значение</t>
        </is>
      </c>
      <c r="C1" s="1" t="inlineStr">
        <is>
          <t xml:space="preserve">Как считается</t>
        </is>
      </c>
    </row>
    <row r="2">
      <c r="A2" t="inlineStr">
        <is>
          <t xml:space="preserve">Маржинальный доход с чашки, ₽</t>
        </is>
      </c>
      <c r="B2" s="9">
        <f>ROUND('Вводные'!$B$2-'Вводные'!$B$3-'Вводные'!$B$2*'Вводные'!$B$4-'Вводные'!$B$2*'Вводные'!$B$16*(1-'Вводные'!$B$17)-'Вводные'!$B$2*0.01,2)</f>
        <v>130.6</v>
      </c>
      <c r="C2" s="7" t="inlineStr">
        <is>
          <t xml:space="preserve">цена − сырьё − эквайринг − налог 3 % − взносы 1 %</t>
        </is>
      </c>
    </row>
    <row r="3">
      <c r="A3" t="inlineStr">
        <is>
          <t xml:space="preserve">Постоянные расходы в месяц с взносами ИП, ₽</t>
        </is>
      </c>
      <c r="B3" s="9">
        <f>ROUND(('Вводные'!$B$7+'Вводные'!$B$8*'Вводные'!$B$6*'Вводные'!$B$9+ROUND(ROUND('Вводные'!$B$8*'Вводные'!$B$6*'Вводные'!$B$9*'Вводные'!$B$10,0)+ROUND('Вводные'!$B$8*'Вводные'!$B$6*'Вводные'!$B$9*'Вводные'!$B$11,2),0)+'Вводные'!$B$12+'Вводные'!$B$13+'Вводные'!$B$14+'Вводные'!$B$15/12),2)</f>
        <v>208650.5</v>
      </c>
      <c r="C3" s="7" t="inlineStr">
        <is>
          <t xml:space="preserve">аренда + зарплаты + взносы + сервисы + продвижение + взносы ИП ÷ 12</t>
        </is>
      </c>
    </row>
    <row r="4">
      <c r="A4" t="inlineStr">
        <is>
          <t xml:space="preserve">Точка безубыточности, чашек в день</t>
        </is>
      </c>
      <c r="B4" s="8">
        <f>B3/B2/'Вводные'!$B$6</f>
        <v>53.2543</v>
      </c>
      <c r="C4" s="7" t="inlineStr">
        <is>
          <t xml:space="preserve">постоянные ÷ маржинальный доход ÷ 30</t>
        </is>
      </c>
    </row>
    <row r="5">
      <c r="A5" t="inlineStr">
        <is>
          <t xml:space="preserve">Прибыль в месяц на полной загрузке, ₽</t>
        </is>
      </c>
      <c r="B5" s="9">
        <f>ROUND('Вводные'!$B$5*'Вводные'!$B$6*B2-B3,2)</f>
        <v>104789.5</v>
      </c>
      <c r="C5" s="7" t="inlineStr">
        <is>
          <t xml:space="preserve">чашек в месяц × маржинальный доход − постоянные</t>
        </is>
      </c>
    </row>
    <row r="6">
      <c r="A6" t="inlineStr">
        <is>
          <t xml:space="preserve">Окупаемость с разгоном, месяцев</t>
        </is>
      </c>
      <c r="B6" s="8">
        <f>IF(MAX('Прибыль'!K2:K61)=0,"больше 60",MAX('Прибыль'!K2:K61))</f>
        <v>11.7145</v>
      </c>
      <c r="C6" s="7" t="inlineStr">
        <is>
          <t xml:space="preserve">первый месяц, где накопленная прибыль покрывает вложения</t>
        </is>
      </c>
    </row>
    <row r="7">
      <c r="A7" t="inlineStr">
        <is>
          <t xml:space="preserve">Окупаемость по простой формуле, месяцев</t>
        </is>
      </c>
      <c r="B7" s="8">
        <f>'Вложения'!$B$15/B5</f>
        <v>6.8078</v>
      </c>
      <c r="C7" s="7" t="inlineStr">
        <is>
          <t xml:space="preserve">вложения ÷ прибыль полного месяца — без разгона</t>
        </is>
      </c>
    </row>
    <row r="8">
      <c r="A8" t="inlineStr">
        <is>
          <t xml:space="preserve">Самый низкий остаток на счёте за год, ₽</t>
        </is>
      </c>
      <c r="B8" s="6">
        <f>MIN('Месяцы'!Q2:Q14)</f>
        <v>93811</v>
      </c>
      <c r="C8" s="7" t="inlineStr">
        <is>
          <t xml:space="preserve">должен быть выше порога риска в строке ниже</t>
        </is>
      </c>
    </row>
    <row r="9">
      <c r="A9" t="inlineStr">
        <is>
          <t xml:space="preserve">Порог риска: неделя постоянных расходов, ₽</t>
        </is>
      </c>
      <c r="B9" s="6">
        <f>ROUND(B3*7/30,0)</f>
        <v>48685</v>
      </c>
      <c r="C9" s="7" t="inlineStr">
        <is>
          <t xml:space="preserve">остаток ниже — сигнал: резерва мало</t>
        </is>
      </c>
    </row>
    <row r="10">
      <c r="A10" t="inlineStr">
        <is>
          <t xml:space="preserve">Остаток на счёте в конце года, ₽</t>
        </is>
      </c>
      <c r="B10" s="6">
        <f>'Месяцы'!Q14</f>
        <v>908721</v>
      </c>
      <c r="C10" s="7" t="inlineStr">
        <is>
          <t xml:space="preserve"/>
        </is>
      </c>
    </row>
    <row r="11">
      <c r="A11" t="inlineStr">
        <is>
          <t xml:space="preserve">Платёж по займу в месяц, ₽</t>
        </is>
      </c>
      <c r="B11" s="6">
        <f>ROUND(PMT('Вводные'!$B$19/12,'Вводные'!$B$20,-'Вводные'!$B$18),0)</f>
        <v>15784</v>
      </c>
      <c r="C11" s="7" t="inlineStr">
        <is>
          <t xml:space="preserve">аннуитет</t>
        </is>
      </c>
    </row>
    <row r="13">
      <c r="A13" s="7" t="inlineStr">
        <is>
          <t xml:space="preserve">Пример: кофе с собой у станции МЦД, проверка 20261008102911-seo152. Жёлтые клетки на листе «Вводные» — меняй их. Суммы округлены до рубля, где не сказано иначе.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Бизнес-план: финансовая модель</dc:title>
  <dc:creator>founders.su</dc:creator>
  <dcterms:created xsi:type="dcterms:W3CDTF">2026-10-10T00:00:00Z</dcterms:created>
</cp:coreProperties>
</file>